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64011"/>
  <mc:AlternateContent xmlns:mc="http://schemas.openxmlformats.org/markup-compatibility/2006">
    <mc:Choice Requires="x15">
      <x15ac:absPath xmlns:x15ac="http://schemas.microsoft.com/office/spreadsheetml/2010/11/ac" url="C:\Users\B061940\AppData\Roaming\cBrain\F2\Temp\14317307\"/>
    </mc:Choice>
  </mc:AlternateContent>
  <workbookProtection workbookAlgorithmName="SHA-512" workbookHashValue="MbNDPI2Rmu8zqhsfTj/9Tq18OlZ32ZToO2TGj95q9GCyLobNf4/LtlrHL/d/meWWRql2e+DGoOnAnZU0o2JwJA==" workbookSaltValue="1ch/c/hOqZiPl2NDpwX+Bg==" workbookSpinCount="100000" lockStructure="1"/>
  <bookViews>
    <workbookView xWindow="0" yWindow="0" windowWidth="18735" windowHeight="6285"/>
  </bookViews>
  <sheets>
    <sheet name="Forside" sheetId="1" r:id="rId1"/>
    <sheet name="Beskrivelse" sheetId="2" r:id="rId2"/>
    <sheet name="Grise - Varmeforbrug" sheetId="3" r:id="rId3"/>
    <sheet name="Grise - regneark" sheetId="4" state="hidden" r:id="rId4"/>
    <sheet name="Grise - Virkningsgrader" sheetId="11" state="hidden" r:id="rId5"/>
    <sheet name="Grise-Virkningsgrad regneark" sheetId="12" state="hidden" r:id="rId6"/>
    <sheet name="Kyllinge - Varmeforbrug " sheetId="13" r:id="rId7"/>
    <sheet name="Kyllinge - regneark" sheetId="14" state="hidden" r:id="rId8"/>
    <sheet name="Kyllinge - virkningsgrad" sheetId="17" state="hidden" r:id="rId9"/>
    <sheet name="Kyllinge-Virkningsgrad regneark" sheetId="18" state="hidden"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7" i="3" l="1"/>
  <c r="C18" i="13" l="1"/>
  <c r="J35" i="13" l="1"/>
  <c r="I41" i="3"/>
  <c r="B2" i="13" l="1"/>
  <c r="J20" i="13" l="1"/>
  <c r="J21" i="13"/>
  <c r="J19" i="13"/>
  <c r="H20" i="13"/>
  <c r="H21" i="13"/>
  <c r="H19" i="13"/>
  <c r="O17" i="13"/>
  <c r="O14" i="13"/>
  <c r="B19" i="17" l="1"/>
  <c r="B18" i="17"/>
  <c r="B10" i="17"/>
  <c r="B12" i="17" l="1"/>
  <c r="C6" i="18" s="1"/>
  <c r="B11" i="17"/>
  <c r="C5" i="18" s="1"/>
  <c r="B9" i="17"/>
  <c r="C4" i="18" s="1"/>
  <c r="E4" i="18" s="1"/>
  <c r="C12" i="18" s="1"/>
  <c r="C3" i="18"/>
  <c r="L2" i="18" s="1"/>
  <c r="W5" i="18"/>
  <c r="W6" i="18" s="1"/>
  <c r="N32" i="18"/>
  <c r="N33" i="18"/>
  <c r="N34" i="18"/>
  <c r="B20" i="17"/>
  <c r="I13" i="18" l="1"/>
  <c r="J13" i="18"/>
  <c r="N57" i="18"/>
  <c r="N9" i="18" s="1"/>
  <c r="N48" i="18"/>
  <c r="N8" i="18" s="1"/>
  <c r="N39" i="18"/>
  <c r="N7" i="18" s="1"/>
  <c r="N30" i="18"/>
  <c r="N6" i="18" s="1"/>
  <c r="H15" i="18"/>
  <c r="G15" i="18"/>
  <c r="I15" i="18"/>
  <c r="I14" i="18"/>
  <c r="M2" i="18"/>
  <c r="J14" i="18"/>
  <c r="G13" i="18"/>
  <c r="J5" i="18"/>
  <c r="N21" i="18"/>
  <c r="H14" i="18"/>
  <c r="N12" i="18"/>
  <c r="N4" i="18" s="1"/>
  <c r="C13" i="18"/>
  <c r="B13" i="17" s="1"/>
  <c r="J15" i="18"/>
  <c r="G14" i="18"/>
  <c r="H13" i="18"/>
  <c r="G18" i="13"/>
  <c r="B35" i="13"/>
  <c r="Q17" i="3"/>
  <c r="N10" i="18" l="1"/>
  <c r="N5" i="18"/>
  <c r="N2" i="18" s="1"/>
  <c r="E3" i="18" s="1"/>
  <c r="C8" i="18" s="1"/>
  <c r="C9" i="18" s="1"/>
  <c r="C14" i="18" s="1"/>
  <c r="C15" i="18" l="1"/>
  <c r="B14" i="17"/>
  <c r="C10" i="18"/>
  <c r="H22" i="13"/>
  <c r="J22" i="13"/>
  <c r="J18" i="13"/>
  <c r="H18" i="13"/>
  <c r="E18" i="13"/>
  <c r="C35" i="13"/>
  <c r="R9" i="13"/>
  <c r="R8" i="13"/>
  <c r="Q3" i="13"/>
  <c r="K2" i="13"/>
  <c r="J30" i="13" l="1"/>
  <c r="O15" i="13" s="1"/>
  <c r="I38" i="13"/>
  <c r="J11" i="13"/>
  <c r="C11" i="13" s="1"/>
  <c r="T37" i="14"/>
  <c r="S37" i="14"/>
  <c r="N37" i="14"/>
  <c r="T36" i="14"/>
  <c r="S36" i="14"/>
  <c r="T35" i="14"/>
  <c r="S35" i="14"/>
  <c r="P35" i="14"/>
  <c r="N35" i="14"/>
  <c r="T34" i="14"/>
  <c r="S34" i="14"/>
  <c r="T33" i="14"/>
  <c r="S33" i="14"/>
  <c r="T32" i="14"/>
  <c r="S32" i="14"/>
  <c r="P32" i="14"/>
  <c r="N32" i="14"/>
  <c r="N27" i="14"/>
  <c r="P24" i="14"/>
  <c r="N24" i="14"/>
  <c r="S22" i="14"/>
  <c r="S20" i="14"/>
  <c r="P20" i="14"/>
  <c r="N20" i="14"/>
  <c r="H13" i="14"/>
  <c r="H12" i="14"/>
  <c r="H11" i="14"/>
  <c r="O18" i="13" l="1"/>
  <c r="O20" i="13" s="1"/>
  <c r="O21" i="13" s="1"/>
  <c r="S9" i="3"/>
  <c r="C41" i="3" l="1"/>
  <c r="O17" i="3"/>
  <c r="Q14" i="3"/>
  <c r="O14" i="3"/>
  <c r="B41" i="3" l="1"/>
  <c r="J25" i="3"/>
  <c r="J24" i="3"/>
  <c r="E30" i="3"/>
  <c r="E31" i="3"/>
  <c r="E29" i="3"/>
  <c r="C30" i="3"/>
  <c r="C31" i="3"/>
  <c r="G31" i="3" s="1"/>
  <c r="I31" i="3" s="1"/>
  <c r="C29" i="3"/>
  <c r="B27" i="3"/>
  <c r="G30" i="3" l="1"/>
  <c r="I30" i="3" s="1"/>
  <c r="G29" i="3"/>
  <c r="I29" i="3" s="1"/>
  <c r="B19" i="11"/>
  <c r="B18" i="11"/>
  <c r="B10" i="11"/>
  <c r="B9" i="11"/>
  <c r="B12" i="11"/>
  <c r="B11" i="11"/>
  <c r="I32" i="3" l="1"/>
  <c r="G32" i="3"/>
  <c r="C3" i="12"/>
  <c r="L2" i="12" s="1"/>
  <c r="C4" i="12"/>
  <c r="E4" i="12" s="1"/>
  <c r="C12" i="12" s="1"/>
  <c r="C5" i="12"/>
  <c r="N21" i="12" s="1"/>
  <c r="N5" i="12" s="1"/>
  <c r="W5" i="12"/>
  <c r="C6" i="12"/>
  <c r="H14" i="12" s="1"/>
  <c r="W6" i="12"/>
  <c r="N32" i="12"/>
  <c r="N33" i="12"/>
  <c r="N34" i="12"/>
  <c r="B20" i="11"/>
  <c r="H44" i="3" l="1"/>
  <c r="I15" i="12"/>
  <c r="N48" i="12"/>
  <c r="N8" i="12" s="1"/>
  <c r="N57" i="12"/>
  <c r="N9" i="12" s="1"/>
  <c r="J13" i="12"/>
  <c r="H13" i="12"/>
  <c r="G13" i="12"/>
  <c r="I14" i="12"/>
  <c r="I13" i="12"/>
  <c r="N39" i="12"/>
  <c r="N7" i="12" s="1"/>
  <c r="N12" i="12"/>
  <c r="N4" i="12" s="1"/>
  <c r="N30" i="12"/>
  <c r="N6" i="12" s="1"/>
  <c r="H15" i="12"/>
  <c r="J14" i="12"/>
  <c r="N10" i="12"/>
  <c r="J5" i="12"/>
  <c r="C13" i="12"/>
  <c r="B13" i="11" s="1"/>
  <c r="M2" i="12"/>
  <c r="J15" i="12"/>
  <c r="G14" i="12"/>
  <c r="G15" i="12"/>
  <c r="N2" i="12" l="1"/>
  <c r="E3" i="12" s="1"/>
  <c r="C8" i="12" s="1"/>
  <c r="C9" i="12" s="1"/>
  <c r="C14" i="12" s="1"/>
  <c r="G18" i="3"/>
  <c r="G28" i="3" s="1"/>
  <c r="C10" i="12" l="1"/>
  <c r="C15" i="12"/>
  <c r="B14" i="11"/>
  <c r="T37" i="4"/>
  <c r="T36" i="4"/>
  <c r="T35" i="4"/>
  <c r="T34" i="4"/>
  <c r="T33" i="4"/>
  <c r="T32" i="4"/>
  <c r="S37" i="4"/>
  <c r="S36" i="4"/>
  <c r="S35" i="4"/>
  <c r="S34" i="4"/>
  <c r="S33" i="4"/>
  <c r="S32" i="4"/>
  <c r="N37" i="4"/>
  <c r="P35" i="4"/>
  <c r="N35" i="4"/>
  <c r="P32" i="4"/>
  <c r="N32" i="4"/>
  <c r="I18" i="3"/>
  <c r="I28" i="3" s="1"/>
  <c r="I38" i="3" l="1"/>
  <c r="G21" i="3"/>
  <c r="I21" i="3" s="1"/>
  <c r="G20" i="3"/>
  <c r="I20" i="3" s="1"/>
  <c r="Q15" i="3" l="1"/>
  <c r="Q18" i="3"/>
  <c r="O15" i="3"/>
  <c r="O18" i="3" s="1"/>
  <c r="H13" i="4"/>
  <c r="H12" i="4"/>
  <c r="H11" i="4"/>
  <c r="S8" i="3"/>
  <c r="Q20" i="3" l="1"/>
  <c r="O20" i="3"/>
  <c r="O21" i="3" s="1"/>
  <c r="Q21" i="3"/>
  <c r="T20" i="4"/>
  <c r="T21" i="4" s="1"/>
  <c r="T24" i="4"/>
  <c r="S25" i="4"/>
  <c r="S24" i="4"/>
  <c r="T23" i="4"/>
  <c r="S23" i="4"/>
  <c r="T22" i="4"/>
  <c r="S22" i="4"/>
  <c r="S21" i="4"/>
  <c r="S20" i="4"/>
  <c r="P24" i="4"/>
  <c r="N24" i="4"/>
  <c r="N27" i="4"/>
  <c r="P20" i="4"/>
  <c r="N20" i="4"/>
  <c r="E18" i="3"/>
  <c r="E28" i="3" s="1"/>
  <c r="C18" i="3"/>
  <c r="C28" i="3" s="1"/>
  <c r="T25" i="4" l="1"/>
  <c r="G19" i="3"/>
  <c r="S3" i="3"/>
  <c r="K2" i="3"/>
  <c r="B2" i="3"/>
  <c r="B2" i="2"/>
  <c r="I2" i="2"/>
  <c r="O4" i="2"/>
  <c r="I19" i="3" l="1"/>
  <c r="I22" i="3" s="1"/>
  <c r="G22" i="3"/>
  <c r="I11" i="3"/>
  <c r="C11" i="3" s="1"/>
</calcChain>
</file>

<file path=xl/sharedStrings.xml><?xml version="1.0" encoding="utf-8"?>
<sst xmlns="http://schemas.openxmlformats.org/spreadsheetml/2006/main" count="318" uniqueCount="151">
  <si>
    <t>Sådan kommer du i gang</t>
  </si>
  <si>
    <t>Det kan du</t>
  </si>
  <si>
    <r>
      <rPr>
        <b/>
        <sz val="9"/>
        <color theme="1"/>
        <rFont val="Calibri"/>
        <family val="2"/>
        <scheme val="minor"/>
      </rPr>
      <t>1.</t>
    </r>
    <r>
      <rPr>
        <sz val="9"/>
        <color theme="1"/>
        <rFont val="Calibri"/>
        <family val="2"/>
        <scheme val="minor"/>
      </rPr>
      <t xml:space="preserve"> Se hvilke projekter der er indbefattet standardløsningen </t>
    </r>
  </si>
  <si>
    <r>
      <rPr>
        <b/>
        <sz val="9"/>
        <color theme="1"/>
        <rFont val="Calibri"/>
        <family val="2"/>
        <scheme val="minor"/>
      </rPr>
      <t>2.</t>
    </r>
    <r>
      <rPr>
        <sz val="9"/>
        <color theme="1"/>
        <rFont val="Calibri"/>
        <family val="2"/>
        <scheme val="minor"/>
      </rPr>
      <t xml:space="preserve"> Se dokumentationskrav der er gældende for standardløsningen </t>
    </r>
  </si>
  <si>
    <t>Klik på det relevante tiltag for at fortsætte til beregner</t>
  </si>
  <si>
    <t>Standardløsningen er henvendt til de situationer, hvor før-forbruget ikke kan dokumenteres via faktura eller målinger. Energistyrelsen godtager ikke presning eller køb af halm, som dokumentation for energiforbruget. Det skyldes, at dokumentation for presning af halm alene er dokumentation for den mængde, der er presset, og ikke den mængde, der er anvendt til energiformål.</t>
  </si>
  <si>
    <t xml:space="preserve">Varmeforbrug - Grise </t>
  </si>
  <si>
    <t>Afgrænsning af standardløsning</t>
  </si>
  <si>
    <t>•</t>
  </si>
  <si>
    <t>Nej</t>
  </si>
  <si>
    <t>Input</t>
  </si>
  <si>
    <t>Resultat</t>
  </si>
  <si>
    <t>Energiforbrug i før-situationen</t>
  </si>
  <si>
    <t>MWh/år</t>
  </si>
  <si>
    <t>1.</t>
  </si>
  <si>
    <t>Energiforbrug i efter-situationen</t>
  </si>
  <si>
    <t>Procentvis besparelse</t>
  </si>
  <si>
    <t>%</t>
  </si>
  <si>
    <t xml:space="preserve">Energibesparelse </t>
  </si>
  <si>
    <t>Dokumentationskrav indeholder blandt andet:</t>
  </si>
  <si>
    <t xml:space="preserve">3. </t>
  </si>
  <si>
    <t>Svar muligheder</t>
  </si>
  <si>
    <t>Ja</t>
  </si>
  <si>
    <t>Årsrapport</t>
  </si>
  <si>
    <t>CHR</t>
  </si>
  <si>
    <t>Årssøer</t>
  </si>
  <si>
    <t>Slagtesvin</t>
  </si>
  <si>
    <t>Smågrise</t>
  </si>
  <si>
    <t>Søer,gylte og orner</t>
  </si>
  <si>
    <t>Svin o. 30 kg</t>
  </si>
  <si>
    <t xml:space="preserve">Antal hold </t>
  </si>
  <si>
    <t>Staldtype</t>
  </si>
  <si>
    <t>Varmeforbrug - kWh/gris</t>
  </si>
  <si>
    <t>Løbe/drægtighedsstalde</t>
  </si>
  <si>
    <t>Farestalde - fuldspaltegulv</t>
  </si>
  <si>
    <t>Farestalde - delvist fast gulv</t>
  </si>
  <si>
    <t>Smågrisestald - spalter</t>
  </si>
  <si>
    <t>Smågrisestald - delvist fast gulv</t>
  </si>
  <si>
    <t xml:space="preserve">Slagtesvinstald - delvist fast gulv </t>
  </si>
  <si>
    <t xml:space="preserve">Slagtesvinstald - spalter </t>
  </si>
  <si>
    <t>Nøgletal pr gris - kWh</t>
  </si>
  <si>
    <t xml:space="preserve">Baggrundsberegning </t>
  </si>
  <si>
    <t>Bruger input</t>
  </si>
  <si>
    <t>Indlejrede forudsætninger</t>
  </si>
  <si>
    <t>Energistyrelsens forudsætninger</t>
  </si>
  <si>
    <t>Afgrænsninger</t>
  </si>
  <si>
    <t>Spørgsmål</t>
  </si>
  <si>
    <t xml:space="preserve">Input </t>
  </si>
  <si>
    <t>1. Opgørelsesmetode af besætningsstørrelsen</t>
  </si>
  <si>
    <t xml:space="preserve">1.1 Årsrapport </t>
  </si>
  <si>
    <t>1.2 CHR</t>
  </si>
  <si>
    <t>Forudsætninger</t>
  </si>
  <si>
    <t>Smågrise 7-30 kg</t>
  </si>
  <si>
    <t xml:space="preserve">2. </t>
  </si>
  <si>
    <t xml:space="preserve">Udtørres staldende med olievarmekanoner </t>
  </si>
  <si>
    <t>Varmeforbrug til udtørring - kWh/gris</t>
  </si>
  <si>
    <t>Beregningsværktøj til at bestemme normvirkningsgrader</t>
  </si>
  <si>
    <t xml:space="preserve"> </t>
  </si>
  <si>
    <t>Før-situation</t>
  </si>
  <si>
    <t>Kedlens størrelse [kW]</t>
  </si>
  <si>
    <t>Indtast kedlens nominelle ydelse i kW.</t>
  </si>
  <si>
    <t>Brændsel</t>
  </si>
  <si>
    <t>Vælg brændsel i rullemenuen.</t>
  </si>
  <si>
    <t>Kedlens alder [år]</t>
  </si>
  <si>
    <t>Indtast den eksisterende kedels alder i hele antal år.</t>
  </si>
  <si>
    <t xml:space="preserve"> Kedlens normvirkningsgrad, som ny [%]</t>
  </si>
  <si>
    <t>Indtast kedlens normvirkningsgrad fra kedelliste eller prøvningsattest. 
Virkningsgraden indtastes som procent.</t>
  </si>
  <si>
    <t>Kedlens årsvirkningsgrad, som ny [%]</t>
  </si>
  <si>
    <t xml:space="preserve">Beregning af kedlens årsvirkningsgrad som ny. </t>
  </si>
  <si>
    <t>Kedlens årsvirkningsgrad, ved udskiftningstidspunkt [%]</t>
  </si>
  <si>
    <r>
      <t xml:space="preserve">Her er kedlens årsvirkningsgrad beregnet. Det er denne som skal benyttes til beregning af energiforbruget i før-situationen. </t>
    </r>
    <r>
      <rPr>
        <b/>
        <u/>
        <sz val="9"/>
        <color rgb="FF9C6500"/>
        <rFont val="Calibri"/>
        <family val="2"/>
        <scheme val="minor"/>
      </rPr>
      <t>Bemærk at denne værdi ikke må være under 50%.</t>
    </r>
  </si>
  <si>
    <t>Efter-situation</t>
  </si>
  <si>
    <t>Indtast kedlens normvirkningsgrad fra kedelliste eller fx prøvningsattest. 
Virkningsgraden indtastes som procent.</t>
  </si>
  <si>
    <t>Her beregnes den nye kedels årsvirkningsgrad, som skal benyttes til beregning af energiforbruget i efter-situationen</t>
  </si>
  <si>
    <t>Ydelse</t>
  </si>
  <si>
    <t>Træpiller</t>
  </si>
  <si>
    <t>Alder</t>
  </si>
  <si>
    <t>Brænde</t>
  </si>
  <si>
    <t>Virk. ny</t>
  </si>
  <si>
    <t>Flis</t>
  </si>
  <si>
    <t>Halm</t>
  </si>
  <si>
    <t>Korr. virk.</t>
  </si>
  <si>
    <t>Olie</t>
  </si>
  <si>
    <t>Virk. nu</t>
  </si>
  <si>
    <t>Gas</t>
  </si>
  <si>
    <t>Fald</t>
  </si>
  <si>
    <t>Kul/koks</t>
  </si>
  <si>
    <t>Korr. til årsvirk.</t>
  </si>
  <si>
    <t>Års virk. ny</t>
  </si>
  <si>
    <t>Års virk. nu</t>
  </si>
  <si>
    <t>Alder[år]</t>
  </si>
  <si>
    <t>6.</t>
  </si>
  <si>
    <t>Normvirkningsgrad[%]</t>
  </si>
  <si>
    <t>Årsvirkningsgrad[%]</t>
  </si>
  <si>
    <t>3.1</t>
  </si>
  <si>
    <t xml:space="preserve">3. Udtørres staldende med olievarmekanoner </t>
  </si>
  <si>
    <t>3.1 Udskiftes olievarmekanonerne i energisparetiltaget</t>
  </si>
  <si>
    <t>7. Varmeforsyning i efter-situationen</t>
  </si>
  <si>
    <t>Brændselskedel</t>
  </si>
  <si>
    <t>Fjernvarme</t>
  </si>
  <si>
    <t>Varmepumpe</t>
  </si>
  <si>
    <t>Størrelse[kW]</t>
  </si>
  <si>
    <t xml:space="preserve">4. </t>
  </si>
  <si>
    <t>5.</t>
  </si>
  <si>
    <t>Udskiftes olievarmekanonerne i energisparetiltaget til varmepumpe</t>
  </si>
  <si>
    <t xml:space="preserve">Energitype i før-situationen </t>
  </si>
  <si>
    <t>Energitype i efter-situationen</t>
  </si>
  <si>
    <t xml:space="preserve">Standardløsningskatalog for udskiftning af brændselskedler i stalde </t>
  </si>
  <si>
    <t>Standardløsningskatalog for udskiftning af brændselskedler i stalde - Tilskud til energibesparelser og energieffektiviseringer i erhvervsvirksomheder</t>
  </si>
  <si>
    <t>Opgørelsesmetode af grisebesætningen</t>
  </si>
  <si>
    <t>Beregning af det årlig varmeforbrug til opvarmning i grisestalde</t>
  </si>
  <si>
    <t xml:space="preserve">Brændelstype i før-situationen </t>
  </si>
  <si>
    <t xml:space="preserve">Beregning af brændselskedlens årsvirkningsgraden ved udskiftningstidspunktet </t>
  </si>
  <si>
    <t xml:space="preserve">Ny varmeforsyning i efter-situationen </t>
  </si>
  <si>
    <t>Udskiftning af brændselskedel i konventionel grisestald</t>
  </si>
  <si>
    <t xml:space="preserve">Denne standardløsning benyttes til beregning af energibesparelse ved udskiftning af brændselskedel i konventionel grisestald til ny varmeforsyning. I denne standardløsning er en konventionel grisebesætning defineret som ikke økologiske grise samt følgende krav for grisebesætningen
• Årssøer befinder sig ca. 30% i farestalde og ca. 70% i løbe/drægtighedsstalde om året
• Smågrise befinder i toklimastalde/smågrisestalde fra de er 7-30 kg
• Slagtesvin befinder sig i slagtesvinsstalde fra de er 25-30 kg til 105 kg 
Derudover er standardløsningen begrænset af, at brændselskedel skal være under 1000 kW. 
Der skal som input angives type og antal af grisebesætningen  hvoraf der kan angives op til 3 forskellige typer. Derudover skal der angives oplysninger vedrørende den eksisterende brændselskedel samt oplysninger om udtørring i stalden. 
Ud fra de angivne værdier estimeres et årligt energiforbrug, som beregnes udfra Energistyrelsens forudsætninger og nøgletal. 
For yderligere vejledning til udfyldelse og beskrivelse af standardløsningen henvises til "Vejledning til standardløsning for stalde". </t>
  </si>
  <si>
    <t xml:space="preserve">2. Hvilken type kyllingeproduktion er der på besætningen </t>
  </si>
  <si>
    <t>Konventionel</t>
  </si>
  <si>
    <t>Økologisk</t>
  </si>
  <si>
    <t>Frilands</t>
  </si>
  <si>
    <t xml:space="preserve">3. Er der varmegenvinding i ventilationsanlægget </t>
  </si>
  <si>
    <t>Krydsvarmeveksler</t>
  </si>
  <si>
    <t>Roterende veksler</t>
  </si>
  <si>
    <t>Væskekoblende batterier</t>
  </si>
  <si>
    <t>3.1 hvilken type veksler er der i ventilationsanlægget</t>
  </si>
  <si>
    <t>4. Omhandler energisparetiltaget udskiftning af brændselskedel</t>
  </si>
  <si>
    <t xml:space="preserve">5.Omhandler energisparetiltaget etablering af varmegenvinding </t>
  </si>
  <si>
    <t xml:space="preserve">Nej </t>
  </si>
  <si>
    <t>Heatpipes</t>
  </si>
  <si>
    <t>Beregning af det årlig varmeforbrug til opvarmning i kyllingestalde</t>
  </si>
  <si>
    <t>Modstrømveksler</t>
  </si>
  <si>
    <t>2.</t>
  </si>
  <si>
    <t>m veksler</t>
  </si>
  <si>
    <t>3.</t>
  </si>
  <si>
    <t>4.</t>
  </si>
  <si>
    <t xml:space="preserve">slagte </t>
  </si>
  <si>
    <t>øko</t>
  </si>
  <si>
    <t>Opgørelsesmetode af slagtekyllingebesætningen</t>
  </si>
  <si>
    <t>Nøgletal pr kylling - kWh</t>
  </si>
  <si>
    <t>Vers. 1  11.03.2022</t>
  </si>
  <si>
    <t>Udskiftning af brændselskedel i konventionel slagtekyllingestald</t>
  </si>
  <si>
    <t>Er brændselskedlen under 1000 kW ?</t>
  </si>
  <si>
    <t>Er brændselskedlen under 1000 kW?</t>
  </si>
  <si>
    <r>
      <rPr>
        <b/>
        <sz val="9"/>
        <color theme="1"/>
        <rFont val="Calibri"/>
        <family val="2"/>
        <scheme val="minor"/>
      </rPr>
      <t>1.</t>
    </r>
    <r>
      <rPr>
        <sz val="9"/>
        <color theme="1"/>
        <rFont val="Calibri"/>
        <family val="2"/>
        <scheme val="minor"/>
      </rPr>
      <t xml:space="preserve"> Læs om de aktuelle energisparetiltag på fanen "Beskrivelse"</t>
    </r>
  </si>
  <si>
    <r>
      <rPr>
        <b/>
        <sz val="9"/>
        <color theme="1"/>
        <rFont val="Calibri"/>
        <family val="2"/>
        <scheme val="minor"/>
      </rPr>
      <t>2.</t>
    </r>
    <r>
      <rPr>
        <sz val="9"/>
        <color theme="1"/>
        <rFont val="Calibri"/>
        <family val="2"/>
        <scheme val="minor"/>
      </rPr>
      <t xml:space="preserve"> Udfyld standardløsningen</t>
    </r>
  </si>
  <si>
    <r>
      <rPr>
        <b/>
        <sz val="9"/>
        <color theme="1"/>
        <rFont val="Calibri"/>
        <family val="2"/>
        <scheme val="minor"/>
      </rPr>
      <t xml:space="preserve">3. </t>
    </r>
    <r>
      <rPr>
        <sz val="9"/>
        <color theme="1"/>
        <rFont val="Calibri"/>
        <family val="2"/>
        <scheme val="minor"/>
      </rPr>
      <t xml:space="preserve">Vedlæg den udfyldte standardløsning i fase 2 ansøgningsskemaet </t>
    </r>
  </si>
  <si>
    <r>
      <t xml:space="preserve">4. </t>
    </r>
    <r>
      <rPr>
        <sz val="9"/>
        <color theme="1"/>
        <rFont val="Calibri"/>
        <family val="2"/>
        <scheme val="minor"/>
      </rPr>
      <t>Hvis du går i stå, Læs "Vejledning til standardløsning for udskiftning af brændselskedler i stalde</t>
    </r>
    <r>
      <rPr>
        <b/>
        <sz val="9"/>
        <color theme="1"/>
        <rFont val="Calibri"/>
        <family val="2"/>
        <scheme val="minor"/>
      </rPr>
      <t>"</t>
    </r>
  </si>
  <si>
    <t xml:space="preserve">Denne standardløsning benyttes til beregning af energibesparelse ved udskiftning af brændselskedel i slagtekyllingestald til ny varmeforsyning. I denne standardløsning er slagtekyllinger defineret som:
• Konventionelle slagtekyllinger, hvor der ikke må være mere end 40 kg kylling pr. m2
Derudover er standardløsningen begrænset af, at brændselskedel skal være under 1000 kW. 
Der skal som input angives type og antal af slagtekyllingebesætningen. Derudover skal der angives oplysninger  vedrørende den eksisterende brændselskedel samt oplysninger om der er varmeveksler i staldene.
Ud fra de angivne værdier estimeres et årligt energiforbrug, som beregnes udfra Energistyrelsens forudsætninger og nøgletal. 
For yderligere vejledning til udfyldelse og beskrivelse af standardløsningen henvises til "Vejledning til standardløsning for stalde". </t>
  </si>
  <si>
    <t xml:space="preserve">Omfatter energispareprojektet implementeres i en eller flere konventionelle grisestalde? </t>
  </si>
  <si>
    <t xml:space="preserve">Vil energispareprojektet implementeres i en eller flere konventionelle slagtekyllingestalde? </t>
  </si>
  <si>
    <t>Specifikke dokumentationskrav til standardløsningen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</si>
</sst>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0.0"/>
    <numFmt numFmtId="166" formatCode="#,##0_ ;\-#,##0\ "/>
    <numFmt numFmtId="167" formatCode="0.0%"/>
    <numFmt numFmtId="168" formatCode=";;\ ;"/>
    <numFmt numFmtId="169" formatCode="0.00000"/>
    <numFmt numFmtId="170" formatCode="0.0000%"/>
    <numFmt numFmtId="171" formatCode="0.0"/>
    <numFmt numFmtId="172" formatCode="0.000%"/>
  </numFmts>
  <fonts count="55" x14ac:knownFonts="1">
    <font>
      <sz val="11"/>
      <color theme="1"/>
      <name val="Calibri"/>
      <family val="2"/>
      <scheme val="minor"/>
    </font>
    <font>
      <sz val="11"/>
      <color theme="1"/>
      <name val="Calibri"/>
      <family val="2"/>
      <scheme val="minor"/>
    </font>
    <font>
      <sz val="11"/>
      <color theme="0"/>
      <name val="Calibri"/>
      <family val="2"/>
      <scheme val="minor"/>
    </font>
    <font>
      <sz val="9"/>
      <color theme="1"/>
      <name val="Calibri"/>
      <family val="2"/>
      <scheme val="minor"/>
    </font>
    <font>
      <sz val="9"/>
      <color rgb="FF009999"/>
      <name val="Verdana"/>
      <family val="2"/>
    </font>
    <font>
      <u/>
      <sz val="11"/>
      <color theme="10"/>
      <name val="Calibri"/>
      <family val="2"/>
      <scheme val="minor"/>
    </font>
    <font>
      <sz val="11"/>
      <color rgb="FF009999"/>
      <name val="Calibri"/>
      <family val="2"/>
      <scheme val="minor"/>
    </font>
    <font>
      <sz val="9"/>
      <color theme="0" tint="-0.499984740745262"/>
      <name val="Calibri"/>
      <family val="2"/>
      <scheme val="minor"/>
    </font>
    <font>
      <sz val="9"/>
      <color theme="1"/>
      <name val="Verdana"/>
      <family val="2"/>
    </font>
    <font>
      <sz val="14"/>
      <color theme="4" tint="-0.249977111117893"/>
      <name val="Verdana"/>
      <family val="2"/>
    </font>
    <font>
      <sz val="14"/>
      <color theme="9" tint="-0.499984740745262"/>
      <name val="Verdana"/>
      <family val="2"/>
    </font>
    <font>
      <sz val="9"/>
      <name val="Calibri"/>
      <family val="2"/>
      <scheme val="minor"/>
    </font>
    <font>
      <sz val="9"/>
      <name val="Verdana"/>
      <family val="2"/>
    </font>
    <font>
      <b/>
      <sz val="12"/>
      <color theme="9" tint="-0.499984740745262"/>
      <name val="Verdana"/>
      <family val="2"/>
    </font>
    <font>
      <sz val="18"/>
      <color theme="9" tint="0.79998168889431442"/>
      <name val="Verdana"/>
      <family val="2"/>
    </font>
    <font>
      <b/>
      <sz val="9"/>
      <color theme="1"/>
      <name val="Calibri"/>
      <family val="2"/>
      <scheme val="minor"/>
    </font>
    <font>
      <b/>
      <sz val="9"/>
      <color theme="1"/>
      <name val="Verdana"/>
      <family val="2"/>
    </font>
    <font>
      <sz val="9"/>
      <color theme="0" tint="-0.499984740745262"/>
      <name val="Verdana"/>
      <family val="2"/>
    </font>
    <font>
      <i/>
      <sz val="10"/>
      <color theme="4" tint="-0.249977111117893"/>
      <name val="Verdana"/>
      <family val="2"/>
    </font>
    <font>
      <i/>
      <sz val="10"/>
      <color theme="4" tint="-0.249977111117893"/>
      <name val="Calibri"/>
      <family val="2"/>
      <scheme val="minor"/>
    </font>
    <font>
      <i/>
      <sz val="10"/>
      <color theme="1"/>
      <name val="Verdana"/>
      <family val="2"/>
    </font>
    <font>
      <i/>
      <sz val="10"/>
      <color theme="1"/>
      <name val="Calibri"/>
      <family val="2"/>
      <scheme val="minor"/>
    </font>
    <font>
      <i/>
      <sz val="11"/>
      <name val="Calibri"/>
      <family val="2"/>
      <scheme val="minor"/>
    </font>
    <font>
      <sz val="9"/>
      <color theme="4" tint="-0.249977111117893"/>
      <name val="Verdana"/>
      <family val="2"/>
    </font>
    <font>
      <sz val="14"/>
      <color rgb="FF009999"/>
      <name val="Calibri"/>
      <family val="2"/>
      <scheme val="minor"/>
    </font>
    <font>
      <sz val="9"/>
      <color theme="0"/>
      <name val="Verdana"/>
      <family val="2"/>
    </font>
    <font>
      <sz val="11"/>
      <color theme="4" tint="-0.249977111117893"/>
      <name val="Calibri"/>
      <family val="2"/>
      <scheme val="minor"/>
    </font>
    <font>
      <sz val="9"/>
      <color theme="9" tint="0.59999389629810485"/>
      <name val="Verdana"/>
      <family val="2"/>
    </font>
    <font>
      <sz val="9"/>
      <color rgb="FFFF0000"/>
      <name val="Verdana"/>
      <family val="2"/>
    </font>
    <font>
      <sz val="14"/>
      <color rgb="FFFF0000"/>
      <name val="Verdana"/>
      <family val="2"/>
    </font>
    <font>
      <b/>
      <sz val="10"/>
      <color theme="1"/>
      <name val="Verdana"/>
      <family val="2"/>
    </font>
    <font>
      <sz val="12"/>
      <color theme="4" tint="-0.249977111117893"/>
      <name val="Verdana"/>
      <family val="2"/>
    </font>
    <font>
      <b/>
      <u/>
      <sz val="14"/>
      <color theme="1"/>
      <name val="Calibri"/>
      <family val="2"/>
      <scheme val="minor"/>
    </font>
    <font>
      <u/>
      <sz val="11"/>
      <color theme="1"/>
      <name val="Calibri"/>
      <family val="2"/>
      <scheme val="minor"/>
    </font>
    <font>
      <b/>
      <sz val="10"/>
      <color theme="9" tint="-0.499984740745262"/>
      <name val="Verdana"/>
      <family val="2"/>
    </font>
    <font>
      <b/>
      <u/>
      <sz val="11"/>
      <color theme="1"/>
      <name val="Calibri"/>
      <family val="2"/>
      <scheme val="minor"/>
    </font>
    <font>
      <b/>
      <u/>
      <sz val="12"/>
      <color theme="1"/>
      <name val="Calibri"/>
      <family val="2"/>
      <scheme val="minor"/>
    </font>
    <font>
      <i/>
      <sz val="11"/>
      <color theme="1"/>
      <name val="Calibri"/>
      <family val="2"/>
      <scheme val="minor"/>
    </font>
    <font>
      <b/>
      <i/>
      <u/>
      <sz val="11"/>
      <color theme="1"/>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b/>
      <sz val="12"/>
      <color theme="1"/>
      <name val="Calibri"/>
      <family val="2"/>
      <scheme val="minor"/>
    </font>
    <font>
      <b/>
      <sz val="9"/>
      <color rgb="FF9C6500"/>
      <name val="Calibri"/>
      <family val="2"/>
      <scheme val="minor"/>
    </font>
    <font>
      <b/>
      <u/>
      <sz val="9"/>
      <color rgb="FF9C6500"/>
      <name val="Calibri"/>
      <family val="2"/>
      <scheme val="minor"/>
    </font>
    <font>
      <sz val="8.5"/>
      <color theme="0"/>
      <name val="Verdana"/>
      <family val="2"/>
    </font>
    <font>
      <sz val="8.5"/>
      <color theme="1"/>
      <name val="Verdana"/>
      <family val="2"/>
    </font>
    <font>
      <sz val="8.5"/>
      <color theme="1" tint="4.9989318521683403E-2"/>
      <name val="Verdana"/>
      <family val="2"/>
    </font>
    <font>
      <sz val="8.5"/>
      <color theme="1" tint="0.14999847407452621"/>
      <name val="Verdana"/>
      <family val="2"/>
    </font>
    <font>
      <sz val="8.5"/>
      <color rgb="FFFA7D00"/>
      <name val="Verdana"/>
      <family val="2"/>
    </font>
    <font>
      <sz val="8.5"/>
      <color rgb="FF3F3F76"/>
      <name val="Verdana"/>
      <family val="2"/>
    </font>
    <font>
      <sz val="8.5"/>
      <name val="Verdana"/>
      <family val="2"/>
    </font>
    <font>
      <b/>
      <sz val="9"/>
      <name val="Verdana"/>
      <family val="2"/>
    </font>
    <font>
      <b/>
      <sz val="11"/>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8DB4E2"/>
        <bgColor indexed="64"/>
      </patternFill>
    </fill>
    <fill>
      <patternFill patternType="solid">
        <fgColor theme="2"/>
        <bgColor indexed="64"/>
      </patternFill>
    </fill>
    <fill>
      <patternFill patternType="solid">
        <fgColor theme="4" tint="0.59999389629810485"/>
        <bgColor indexed="64"/>
      </patternFill>
    </fill>
  </fills>
  <borders count="19">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s>
  <cellStyleXfs count="8">
    <xf numFmtId="0" fontId="0" fillId="0" borderId="0"/>
    <xf numFmtId="43" fontId="1" fillId="0" borderId="0" applyFont="0" applyFill="0" applyBorder="0" applyAlignment="0" applyProtection="0"/>
    <xf numFmtId="0" fontId="3" fillId="0" borderId="0"/>
    <xf numFmtId="0" fontId="5" fillId="0" borderId="0" applyNumberFormat="0" applyFill="0" applyBorder="0" applyAlignment="0" applyProtection="0"/>
    <xf numFmtId="9" fontId="1" fillId="0" borderId="0" applyFont="0" applyFill="0" applyBorder="0" applyAlignment="0" applyProtection="0"/>
    <xf numFmtId="0" fontId="39" fillId="9" borderId="0" applyNumberFormat="0" applyBorder="0" applyAlignment="0" applyProtection="0"/>
    <xf numFmtId="0" fontId="40" fillId="10" borderId="16" applyNumberFormat="0" applyAlignment="0" applyProtection="0"/>
    <xf numFmtId="0" fontId="41" fillId="11" borderId="16" applyNumberFormat="0" applyAlignment="0" applyProtection="0"/>
  </cellStyleXfs>
  <cellXfs count="316">
    <xf numFmtId="0" fontId="0" fillId="0" borderId="0" xfId="0"/>
    <xf numFmtId="0" fontId="4" fillId="2" borderId="0" xfId="2" applyFont="1" applyFill="1"/>
    <xf numFmtId="0" fontId="8" fillId="2" borderId="0" xfId="2" applyFont="1" applyFill="1" applyProtection="1">
      <protection hidden="1"/>
    </xf>
    <xf numFmtId="0" fontId="7" fillId="2" borderId="0" xfId="0" applyFont="1" applyFill="1" applyAlignment="1" applyProtection="1">
      <alignment horizontal="right"/>
      <protection hidden="1"/>
    </xf>
    <xf numFmtId="0" fontId="8" fillId="3" borderId="0" xfId="2" applyFont="1" applyFill="1"/>
    <xf numFmtId="0" fontId="8" fillId="2" borderId="0" xfId="2" applyFont="1" applyFill="1"/>
    <xf numFmtId="0" fontId="7" fillId="2" borderId="0" xfId="0" applyFont="1" applyFill="1" applyAlignment="1" applyProtection="1">
      <alignment horizontal="left" vertical="top"/>
      <protection hidden="1"/>
    </xf>
    <xf numFmtId="0" fontId="7" fillId="2" borderId="0" xfId="0" applyFont="1" applyFill="1" applyAlignment="1" applyProtection="1">
      <alignment vertical="top" wrapText="1"/>
      <protection hidden="1"/>
    </xf>
    <xf numFmtId="0" fontId="9" fillId="2" borderId="0" xfId="2" applyFont="1" applyFill="1"/>
    <xf numFmtId="0" fontId="9" fillId="2" borderId="0" xfId="2" applyFont="1" applyFill="1" applyAlignment="1" applyProtection="1">
      <alignment vertical="center"/>
      <protection hidden="1"/>
    </xf>
    <xf numFmtId="0" fontId="11" fillId="2" borderId="0" xfId="0" applyFont="1" applyFill="1" applyAlignment="1" applyProtection="1">
      <alignment horizontal="right"/>
      <protection hidden="1"/>
    </xf>
    <xf numFmtId="0" fontId="8" fillId="4" borderId="0" xfId="2" applyFont="1" applyFill="1"/>
    <xf numFmtId="0" fontId="8" fillId="2" borderId="0" xfId="2" quotePrefix="1" applyFont="1" applyFill="1"/>
    <xf numFmtId="0" fontId="8" fillId="2" borderId="0" xfId="2" applyFont="1" applyFill="1" applyBorder="1"/>
    <xf numFmtId="0" fontId="9" fillId="2" borderId="0" xfId="2" applyFont="1" applyFill="1" applyBorder="1" applyAlignment="1">
      <alignment horizontal="left"/>
    </xf>
    <xf numFmtId="0" fontId="8" fillId="2" borderId="0" xfId="2" applyFont="1" applyFill="1" applyBorder="1" applyAlignment="1">
      <alignment vertical="center"/>
    </xf>
    <xf numFmtId="0" fontId="12" fillId="2" borderId="0" xfId="2" applyFont="1" applyFill="1" applyBorder="1"/>
    <xf numFmtId="0" fontId="8" fillId="2" borderId="0" xfId="2" applyFont="1" applyFill="1" applyBorder="1" applyAlignment="1">
      <alignment horizontal="center" vertical="center"/>
    </xf>
    <xf numFmtId="0" fontId="8" fillId="2" borderId="0" xfId="2" quotePrefix="1" applyFont="1" applyFill="1" applyBorder="1" applyAlignment="1">
      <alignment horizontal="left" vertical="center"/>
    </xf>
    <xf numFmtId="0" fontId="12" fillId="2" borderId="0" xfId="2" applyFont="1" applyFill="1" applyBorder="1" applyAlignment="1">
      <alignment horizontal="center" vertical="center"/>
    </xf>
    <xf numFmtId="0" fontId="8" fillId="2" borderId="0" xfId="2" applyFont="1" applyFill="1" applyBorder="1" applyAlignment="1">
      <alignment horizontal="left" vertical="center"/>
    </xf>
    <xf numFmtId="0" fontId="13" fillId="2" borderId="0" xfId="2" applyFont="1" applyFill="1" applyBorder="1"/>
    <xf numFmtId="0" fontId="14" fillId="2" borderId="0" xfId="2" applyFont="1" applyFill="1" applyBorder="1"/>
    <xf numFmtId="0" fontId="9" fillId="2" borderId="0" xfId="2" applyFont="1" applyFill="1" applyBorder="1" applyAlignment="1"/>
    <xf numFmtId="0" fontId="8" fillId="2" borderId="0" xfId="2" applyFont="1" applyFill="1" applyBorder="1" applyAlignment="1" applyProtection="1">
      <alignment vertical="center"/>
      <protection hidden="1"/>
    </xf>
    <xf numFmtId="0" fontId="8" fillId="2" borderId="0" xfId="2" applyFont="1" applyFill="1" applyBorder="1" applyProtection="1">
      <protection hidden="1"/>
    </xf>
    <xf numFmtId="0" fontId="15" fillId="2" borderId="0" xfId="0" applyFont="1" applyFill="1"/>
    <xf numFmtId="0" fontId="15" fillId="2" borderId="0" xfId="0" applyFont="1" applyFill="1" applyProtection="1">
      <protection hidden="1"/>
    </xf>
    <xf numFmtId="0" fontId="3" fillId="2" borderId="0" xfId="0" applyFont="1" applyFill="1" applyProtection="1">
      <protection hidden="1"/>
    </xf>
    <xf numFmtId="0" fontId="15" fillId="2" borderId="0" xfId="0" applyFont="1" applyFill="1" applyAlignment="1" applyProtection="1">
      <protection hidden="1"/>
    </xf>
    <xf numFmtId="0" fontId="3" fillId="2" borderId="0" xfId="0" applyFont="1" applyFill="1" applyAlignment="1" applyProtection="1">
      <alignment horizontal="left" vertical="top" wrapText="1"/>
      <protection hidden="1"/>
    </xf>
    <xf numFmtId="0" fontId="3" fillId="2" borderId="0" xfId="0" applyFont="1" applyFill="1" applyAlignment="1" applyProtection="1">
      <alignment horizontal="center" vertical="top" wrapText="1"/>
      <protection hidden="1"/>
    </xf>
    <xf numFmtId="0" fontId="9" fillId="2" borderId="0" xfId="2" applyFont="1" applyFill="1" applyBorder="1" applyAlignment="1">
      <alignment horizontal="left" vertical="center"/>
    </xf>
    <xf numFmtId="0" fontId="8" fillId="2" borderId="0" xfId="2" applyFont="1" applyFill="1" applyBorder="1" applyAlignment="1">
      <alignment horizontal="left"/>
    </xf>
    <xf numFmtId="0" fontId="16" fillId="2" borderId="0" xfId="2" applyFont="1" applyFill="1" applyBorder="1" applyAlignment="1">
      <alignment horizontal="left" vertical="center"/>
    </xf>
    <xf numFmtId="0" fontId="4" fillId="2" borderId="0" xfId="2" applyFont="1" applyFill="1" applyProtection="1">
      <protection hidden="1"/>
    </xf>
    <xf numFmtId="0" fontId="17" fillId="2" borderId="0" xfId="2" applyFont="1" applyFill="1" applyProtection="1">
      <protection hidden="1"/>
    </xf>
    <xf numFmtId="0" fontId="9" fillId="2" borderId="0" xfId="2" applyFont="1" applyFill="1" applyProtection="1">
      <protection hidden="1"/>
    </xf>
    <xf numFmtId="0" fontId="8" fillId="4" borderId="0" xfId="2" applyFont="1" applyFill="1" applyProtection="1">
      <protection hidden="1"/>
    </xf>
    <xf numFmtId="0" fontId="18" fillId="2" borderId="0" xfId="2" applyFont="1" applyFill="1" applyProtection="1">
      <protection hidden="1"/>
    </xf>
    <xf numFmtId="0" fontId="19" fillId="2" borderId="0" xfId="3" applyFont="1" applyFill="1" applyProtection="1">
      <protection hidden="1"/>
    </xf>
    <xf numFmtId="0" fontId="20" fillId="2" borderId="0" xfId="2" applyFont="1" applyFill="1" applyProtection="1">
      <protection hidden="1"/>
    </xf>
    <xf numFmtId="0" fontId="21" fillId="2" borderId="0" xfId="0" applyFont="1" applyFill="1" applyAlignment="1" applyProtection="1">
      <alignment horizontal="right"/>
      <protection hidden="1"/>
    </xf>
    <xf numFmtId="0" fontId="20" fillId="3" borderId="0" xfId="2" applyFont="1" applyFill="1"/>
    <xf numFmtId="0" fontId="23" fillId="2" borderId="0" xfId="2" applyFont="1" applyFill="1" applyProtection="1">
      <protection hidden="1"/>
    </xf>
    <xf numFmtId="0" fontId="2" fillId="4" borderId="0" xfId="3" applyFont="1" applyFill="1" applyAlignment="1" applyProtection="1">
      <alignment horizontal="center"/>
      <protection hidden="1"/>
    </xf>
    <xf numFmtId="0" fontId="24" fillId="2" borderId="0" xfId="3" applyFont="1" applyFill="1" applyProtection="1">
      <protection hidden="1"/>
    </xf>
    <xf numFmtId="0" fontId="25" fillId="2" borderId="0" xfId="2" applyFont="1" applyFill="1" applyAlignment="1" applyProtection="1">
      <alignment horizontal="center"/>
      <protection hidden="1"/>
    </xf>
    <xf numFmtId="0" fontId="26" fillId="2" borderId="0" xfId="3" applyFont="1" applyFill="1" applyProtection="1">
      <protection hidden="1"/>
    </xf>
    <xf numFmtId="0" fontId="4" fillId="2" borderId="0" xfId="2" applyFont="1" applyFill="1" applyProtection="1"/>
    <xf numFmtId="0" fontId="8" fillId="2" borderId="0" xfId="2" applyFont="1" applyFill="1" applyProtection="1"/>
    <xf numFmtId="0" fontId="9" fillId="2" borderId="0" xfId="2" applyFont="1" applyFill="1" applyAlignment="1" applyProtection="1">
      <protection hidden="1"/>
    </xf>
    <xf numFmtId="0" fontId="9" fillId="2" borderId="0" xfId="2" applyFont="1" applyFill="1" applyProtection="1"/>
    <xf numFmtId="0" fontId="9" fillId="2" borderId="0" xfId="2" applyFont="1" applyFill="1" applyAlignment="1" applyProtection="1">
      <alignment vertical="center"/>
    </xf>
    <xf numFmtId="0" fontId="10" fillId="2" borderId="0" xfId="2" applyFont="1" applyFill="1" applyProtection="1"/>
    <xf numFmtId="0" fontId="8" fillId="4" borderId="0" xfId="2" applyFont="1" applyFill="1" applyProtection="1"/>
    <xf numFmtId="0" fontId="8" fillId="2" borderId="0" xfId="2" applyFont="1" applyFill="1" applyAlignment="1" applyProtection="1">
      <alignment vertical="center"/>
    </xf>
    <xf numFmtId="0" fontId="9" fillId="2" borderId="0" xfId="2" applyFont="1" applyFill="1" applyAlignment="1" applyProtection="1"/>
    <xf numFmtId="0" fontId="27" fillId="2" borderId="0" xfId="2" applyFont="1" applyFill="1" applyProtection="1"/>
    <xf numFmtId="0" fontId="12" fillId="2" borderId="0" xfId="2" applyFont="1" applyFill="1" applyProtection="1"/>
    <xf numFmtId="0" fontId="8" fillId="5" borderId="0" xfId="2" applyFont="1" applyFill="1" applyAlignment="1" applyProtection="1">
      <alignment horizontal="center" vertical="center"/>
      <protection hidden="1"/>
    </xf>
    <xf numFmtId="0" fontId="8" fillId="6" borderId="2" xfId="2" applyFont="1" applyFill="1" applyBorder="1" applyAlignment="1" applyProtection="1">
      <alignment horizontal="center" vertical="center"/>
      <protection locked="0"/>
    </xf>
    <xf numFmtId="0" fontId="27" fillId="5" borderId="0" xfId="2" applyFont="1" applyFill="1" applyAlignment="1" applyProtection="1">
      <alignment horizontal="center" vertical="center"/>
      <protection hidden="1"/>
    </xf>
    <xf numFmtId="0" fontId="12" fillId="5" borderId="0" xfId="2" quotePrefix="1" applyFont="1" applyFill="1" applyAlignment="1" applyProtection="1">
      <alignment horizontal="left" vertical="center"/>
      <protection hidden="1"/>
    </xf>
    <xf numFmtId="0" fontId="13" fillId="2" borderId="0" xfId="2" applyFont="1" applyFill="1" applyAlignment="1" applyProtection="1">
      <alignment vertical="center"/>
    </xf>
    <xf numFmtId="1" fontId="14" fillId="2" borderId="0" xfId="2" applyNumberFormat="1" applyFont="1" applyFill="1" applyAlignment="1" applyProtection="1">
      <alignment horizontal="right" vertical="center" indent="2"/>
    </xf>
    <xf numFmtId="0" fontId="8" fillId="3" borderId="0" xfId="2" applyFont="1" applyFill="1" applyProtection="1"/>
    <xf numFmtId="0" fontId="8" fillId="2" borderId="0" xfId="2" applyFont="1" applyFill="1" applyAlignment="1" applyProtection="1">
      <alignment wrapText="1"/>
    </xf>
    <xf numFmtId="0" fontId="9" fillId="2" borderId="0" xfId="2" applyFont="1" applyFill="1" applyAlignment="1" applyProtection="1">
      <alignment horizontal="left" vertical="center"/>
      <protection hidden="1"/>
    </xf>
    <xf numFmtId="0" fontId="8" fillId="3" borderId="0" xfId="2" applyFont="1" applyFill="1" applyAlignment="1" applyProtection="1">
      <alignment wrapText="1"/>
    </xf>
    <xf numFmtId="0" fontId="8" fillId="5" borderId="0" xfId="2" applyFont="1" applyFill="1" applyBorder="1" applyAlignment="1" applyProtection="1">
      <alignment horizontal="center" vertical="center"/>
    </xf>
    <xf numFmtId="0" fontId="8" fillId="5" borderId="0" xfId="2" applyFont="1" applyFill="1" applyAlignment="1" applyProtection="1">
      <alignment horizontal="left" vertical="center"/>
    </xf>
    <xf numFmtId="0" fontId="8" fillId="5" borderId="0" xfId="2" applyFont="1" applyFill="1" applyAlignment="1" applyProtection="1">
      <alignment horizontal="center" vertical="center"/>
    </xf>
    <xf numFmtId="0" fontId="28" fillId="5" borderId="0" xfId="2" applyFont="1" applyFill="1" applyAlignment="1" applyProtection="1">
      <alignment vertical="center"/>
    </xf>
    <xf numFmtId="0" fontId="8" fillId="5" borderId="0" xfId="2" applyFont="1" applyFill="1" applyAlignment="1" applyProtection="1">
      <alignment horizontal="left" vertical="center"/>
      <protection hidden="1"/>
    </xf>
    <xf numFmtId="165" fontId="8" fillId="5" borderId="0" xfId="2" applyNumberFormat="1" applyFont="1" applyFill="1" applyAlignment="1" applyProtection="1">
      <alignment vertical="center"/>
      <protection hidden="1"/>
    </xf>
    <xf numFmtId="0" fontId="8" fillId="5" borderId="0" xfId="2" applyFont="1" applyFill="1" applyAlignment="1" applyProtection="1">
      <alignment horizontal="left"/>
      <protection hidden="1"/>
    </xf>
    <xf numFmtId="0" fontId="8" fillId="5" borderId="0" xfId="2" applyFont="1" applyFill="1" applyAlignment="1" applyProtection="1">
      <alignment vertical="center" wrapText="1"/>
      <protection hidden="1"/>
    </xf>
    <xf numFmtId="166" fontId="8" fillId="6" borderId="2" xfId="1" applyNumberFormat="1" applyFont="1" applyFill="1" applyBorder="1" applyAlignment="1" applyProtection="1">
      <alignment horizontal="center" vertical="center"/>
      <protection locked="0"/>
    </xf>
    <xf numFmtId="0" fontId="29" fillId="5" borderId="0" xfId="2" applyFont="1" applyFill="1" applyAlignment="1" applyProtection="1">
      <protection hidden="1"/>
    </xf>
    <xf numFmtId="0" fontId="8" fillId="5" borderId="0" xfId="2" applyFont="1" applyFill="1" applyAlignment="1" applyProtection="1">
      <alignment vertical="center"/>
    </xf>
    <xf numFmtId="0" fontId="30" fillId="5" borderId="3" xfId="2" applyFont="1" applyFill="1" applyBorder="1" applyAlignment="1" applyProtection="1">
      <alignment horizontal="left" vertical="center"/>
      <protection hidden="1"/>
    </xf>
    <xf numFmtId="0" fontId="8" fillId="5" borderId="4" xfId="2" applyFont="1" applyFill="1" applyBorder="1" applyProtection="1">
      <protection hidden="1"/>
    </xf>
    <xf numFmtId="0" fontId="31" fillId="2" borderId="0" xfId="2" applyFont="1" applyFill="1" applyAlignment="1" applyProtection="1">
      <protection hidden="1"/>
    </xf>
    <xf numFmtId="0" fontId="28" fillId="5" borderId="0" xfId="2" applyFont="1" applyFill="1" applyBorder="1" applyAlignment="1" applyProtection="1">
      <alignment vertical="center"/>
    </xf>
    <xf numFmtId="0" fontId="8" fillId="5" borderId="0" xfId="2" applyFont="1" applyFill="1" applyProtection="1"/>
    <xf numFmtId="0" fontId="8" fillId="5" borderId="0" xfId="2" applyFont="1" applyFill="1" applyAlignment="1" applyProtection="1">
      <alignment horizontal="left" vertical="center" wrapText="1"/>
    </xf>
    <xf numFmtId="0" fontId="8" fillId="3" borderId="0" xfId="2" applyFont="1" applyFill="1" applyProtection="1">
      <protection hidden="1"/>
    </xf>
    <xf numFmtId="0" fontId="33" fillId="0" borderId="0" xfId="0" applyFont="1" applyAlignment="1"/>
    <xf numFmtId="0" fontId="12" fillId="5" borderId="0" xfId="2" quotePrefix="1" applyFont="1" applyFill="1" applyBorder="1" applyAlignment="1" applyProtection="1">
      <alignment horizontal="left" vertical="center"/>
      <protection hidden="1"/>
    </xf>
    <xf numFmtId="0" fontId="34" fillId="5" borderId="0" xfId="2" applyFont="1" applyFill="1" applyAlignment="1" applyProtection="1">
      <alignment vertical="center"/>
    </xf>
    <xf numFmtId="0" fontId="33" fillId="0" borderId="0" xfId="0" applyFont="1"/>
    <xf numFmtId="0" fontId="33" fillId="0" borderId="0" xfId="0" applyFont="1" applyAlignment="1">
      <alignment horizontal="center"/>
    </xf>
    <xf numFmtId="0" fontId="0" fillId="0" borderId="8" xfId="0" applyBorder="1" applyAlignment="1">
      <alignment horizontal="center"/>
    </xf>
    <xf numFmtId="0" fontId="0" fillId="0" borderId="9" xfId="0" applyBorder="1" applyAlignment="1"/>
    <xf numFmtId="0" fontId="0" fillId="0" borderId="11" xfId="0" applyBorder="1"/>
    <xf numFmtId="0" fontId="0" fillId="0" borderId="0" xfId="0" applyBorder="1" applyAlignment="1"/>
    <xf numFmtId="0" fontId="0" fillId="0" borderId="13" xfId="0" applyBorder="1"/>
    <xf numFmtId="0" fontId="0" fillId="0" borderId="14" xfId="0" applyBorder="1" applyAlignment="1"/>
    <xf numFmtId="0" fontId="0" fillId="0" borderId="8" xfId="0" applyBorder="1"/>
    <xf numFmtId="0" fontId="0" fillId="0" borderId="9" xfId="0" applyBorder="1"/>
    <xf numFmtId="0" fontId="0" fillId="0" borderId="0" xfId="0" applyBorder="1"/>
    <xf numFmtId="0" fontId="0" fillId="0" borderId="14" xfId="0" applyBorder="1"/>
    <xf numFmtId="0" fontId="0" fillId="0" borderId="10" xfId="0" applyBorder="1"/>
    <xf numFmtId="0" fontId="0" fillId="0" borderId="12" xfId="0" applyBorder="1"/>
    <xf numFmtId="0" fontId="0" fillId="0" borderId="15" xfId="0" applyBorder="1"/>
    <xf numFmtId="0" fontId="12" fillId="6" borderId="0" xfId="2" applyNumberFormat="1" applyFont="1" applyFill="1" applyProtection="1">
      <protection locked="0"/>
    </xf>
    <xf numFmtId="0" fontId="12" fillId="7" borderId="0" xfId="2" applyNumberFormat="1" applyFont="1" applyFill="1" applyProtection="1">
      <protection locked="0"/>
    </xf>
    <xf numFmtId="0" fontId="12" fillId="8" borderId="0" xfId="2" applyNumberFormat="1" applyFont="1" applyFill="1" applyProtection="1">
      <protection locked="0"/>
    </xf>
    <xf numFmtId="0" fontId="35" fillId="0" borderId="0" xfId="0" applyFont="1"/>
    <xf numFmtId="0" fontId="36" fillId="0" borderId="0" xfId="0" applyFont="1"/>
    <xf numFmtId="0" fontId="0" fillId="0" borderId="0" xfId="0" applyAlignment="1">
      <alignment horizontal="center"/>
    </xf>
    <xf numFmtId="0" fontId="0" fillId="0" borderId="0" xfId="0" applyAlignment="1">
      <alignment wrapText="1"/>
    </xf>
    <xf numFmtId="0" fontId="0" fillId="0" borderId="0" xfId="0" applyAlignment="1"/>
    <xf numFmtId="0" fontId="0" fillId="0" borderId="0" xfId="0" applyAlignment="1">
      <alignment vertical="center"/>
    </xf>
    <xf numFmtId="0" fontId="0" fillId="0" borderId="0" xfId="0" applyAlignment="1">
      <alignment horizontal="center" vertical="center"/>
    </xf>
    <xf numFmtId="0" fontId="37" fillId="0" borderId="0" xfId="0" applyFont="1"/>
    <xf numFmtId="0" fontId="0" fillId="0" borderId="0" xfId="0" applyAlignment="1">
      <alignment horizontal="center" vertical="center" wrapText="1"/>
    </xf>
    <xf numFmtId="0" fontId="0" fillId="0" borderId="0" xfId="0" applyFill="1"/>
    <xf numFmtId="0" fontId="0" fillId="0" borderId="0" xfId="0" applyFill="1" applyAlignment="1">
      <alignment vertical="center"/>
    </xf>
    <xf numFmtId="0" fontId="38" fillId="0" borderId="0" xfId="0" applyFont="1" applyAlignment="1"/>
    <xf numFmtId="0" fontId="8" fillId="5" borderId="0" xfId="2" applyFont="1" applyFill="1" applyAlignment="1" applyProtection="1">
      <alignment horizontal="left" vertical="center"/>
      <protection hidden="1"/>
    </xf>
    <xf numFmtId="0" fontId="8" fillId="5" borderId="0" xfId="2" applyFont="1" applyFill="1" applyBorder="1" applyAlignment="1" applyProtection="1">
      <alignment horizontal="center" vertical="center"/>
    </xf>
    <xf numFmtId="0" fontId="33" fillId="0" borderId="0" xfId="0" applyFont="1" applyAlignment="1">
      <alignment horizontal="center"/>
    </xf>
    <xf numFmtId="0" fontId="8" fillId="5" borderId="0" xfId="2" applyFont="1" applyFill="1" applyAlignment="1" applyProtection="1">
      <alignment horizontal="left" vertical="center"/>
      <protection hidden="1"/>
    </xf>
    <xf numFmtId="0" fontId="8" fillId="6" borderId="2" xfId="2" applyFont="1" applyFill="1" applyBorder="1" applyAlignment="1" applyProtection="1">
      <alignment horizontal="center" vertical="center"/>
    </xf>
    <xf numFmtId="0" fontId="8" fillId="5" borderId="0" xfId="2" applyFont="1" applyFill="1" applyBorder="1" applyAlignment="1" applyProtection="1">
      <alignment horizontal="left" vertical="center"/>
      <protection hidden="1"/>
    </xf>
    <xf numFmtId="0" fontId="43" fillId="0" borderId="0" xfId="0" applyFont="1" applyProtection="1"/>
    <xf numFmtId="0" fontId="0" fillId="0" borderId="0" xfId="0" applyProtection="1"/>
    <xf numFmtId="0" fontId="42" fillId="0" borderId="0" xfId="0" applyFont="1" applyProtection="1"/>
    <xf numFmtId="2" fontId="0" fillId="0" borderId="0" xfId="0" applyNumberFormat="1" applyProtection="1"/>
    <xf numFmtId="0" fontId="0" fillId="0" borderId="2" xfId="0" applyBorder="1" applyProtection="1"/>
    <xf numFmtId="0" fontId="0" fillId="2" borderId="2" xfId="0" applyFill="1" applyBorder="1" applyAlignment="1" applyProtection="1">
      <alignment horizontal="right"/>
      <protection locked="0"/>
    </xf>
    <xf numFmtId="0" fontId="0" fillId="2" borderId="2" xfId="0" applyFill="1" applyBorder="1" applyProtection="1">
      <protection locked="0"/>
    </xf>
    <xf numFmtId="9" fontId="0" fillId="2" borderId="2" xfId="4" applyFont="1" applyFill="1" applyBorder="1" applyProtection="1">
      <protection locked="0"/>
    </xf>
    <xf numFmtId="9" fontId="0" fillId="3" borderId="2" xfId="4" applyFont="1" applyFill="1" applyBorder="1" applyProtection="1"/>
    <xf numFmtId="0" fontId="0" fillId="0" borderId="0" xfId="0" applyBorder="1" applyProtection="1"/>
    <xf numFmtId="168" fontId="46" fillId="0" borderId="0" xfId="0" applyNumberFormat="1" applyFont="1" applyAlignment="1" applyProtection="1">
      <alignment horizontal="left" vertical="center" indent="1"/>
      <protection hidden="1"/>
    </xf>
    <xf numFmtId="168" fontId="47" fillId="0" borderId="0" xfId="0" applyNumberFormat="1" applyFont="1" applyAlignment="1" applyProtection="1">
      <alignment horizontal="left" vertical="center" indent="1"/>
      <protection hidden="1"/>
    </xf>
    <xf numFmtId="168" fontId="46" fillId="0" borderId="0" xfId="0" applyNumberFormat="1" applyFont="1" applyFill="1" applyAlignment="1" applyProtection="1">
      <alignment horizontal="left" vertical="center" indent="1"/>
      <protection hidden="1"/>
    </xf>
    <xf numFmtId="168" fontId="48" fillId="0" borderId="0" xfId="0" applyNumberFormat="1" applyFont="1" applyAlignment="1" applyProtection="1">
      <alignment horizontal="left" vertical="center" indent="1"/>
      <protection hidden="1"/>
    </xf>
    <xf numFmtId="168" fontId="46" fillId="12" borderId="0" xfId="0" applyNumberFormat="1" applyFont="1" applyFill="1" applyAlignment="1" applyProtection="1">
      <alignment horizontal="left" vertical="center" indent="1"/>
      <protection hidden="1"/>
    </xf>
    <xf numFmtId="168" fontId="49" fillId="0" borderId="0" xfId="0" applyNumberFormat="1" applyFont="1" applyFill="1" applyAlignment="1" applyProtection="1">
      <alignment horizontal="left" vertical="center" indent="1"/>
      <protection hidden="1"/>
    </xf>
    <xf numFmtId="168" fontId="49" fillId="0" borderId="0" xfId="0" applyNumberFormat="1" applyFont="1" applyAlignment="1" applyProtection="1">
      <alignment horizontal="left" vertical="center" indent="1"/>
      <protection hidden="1"/>
    </xf>
    <xf numFmtId="168" fontId="50" fillId="11" borderId="16" xfId="7" applyNumberFormat="1" applyFont="1" applyAlignment="1" applyProtection="1">
      <alignment horizontal="left" vertical="center" indent="1"/>
      <protection hidden="1"/>
    </xf>
    <xf numFmtId="168" fontId="51" fillId="10" borderId="16" xfId="6" applyNumberFormat="1" applyFont="1" applyAlignment="1" applyProtection="1">
      <alignment horizontal="left" vertical="center" indent="1"/>
      <protection hidden="1"/>
    </xf>
    <xf numFmtId="168" fontId="47" fillId="13" borderId="0" xfId="0" applyNumberFormat="1" applyFont="1" applyFill="1" applyAlignment="1" applyProtection="1">
      <alignment horizontal="left" vertical="center" indent="1"/>
      <protection hidden="1"/>
    </xf>
    <xf numFmtId="168" fontId="46" fillId="14" borderId="0" xfId="0" applyNumberFormat="1" applyFont="1" applyFill="1" applyAlignment="1" applyProtection="1">
      <alignment horizontal="left" vertical="center" indent="1"/>
      <protection hidden="1"/>
    </xf>
    <xf numFmtId="168" fontId="52" fillId="0" borderId="0" xfId="4" applyNumberFormat="1" applyFont="1" applyFill="1" applyAlignment="1" applyProtection="1">
      <alignment horizontal="left" vertical="center" indent="1"/>
      <protection hidden="1"/>
    </xf>
    <xf numFmtId="168" fontId="47" fillId="0" borderId="0" xfId="0" applyNumberFormat="1" applyFont="1" applyProtection="1">
      <protection hidden="1"/>
    </xf>
    <xf numFmtId="168" fontId="48" fillId="0" borderId="0" xfId="0" applyNumberFormat="1" applyFont="1" applyProtection="1">
      <protection hidden="1"/>
    </xf>
    <xf numFmtId="0" fontId="12" fillId="5" borderId="0" xfId="2" applyFont="1" applyFill="1" applyAlignment="1" applyProtection="1">
      <alignment vertical="center"/>
    </xf>
    <xf numFmtId="0" fontId="12" fillId="5" borderId="0" xfId="2" applyFont="1" applyFill="1" applyAlignment="1" applyProtection="1">
      <alignment horizontal="center" vertical="center"/>
    </xf>
    <xf numFmtId="0" fontId="0" fillId="6" borderId="2" xfId="0" applyFill="1" applyBorder="1" applyAlignment="1" applyProtection="1">
      <alignment horizontal="center" vertical="center"/>
      <protection locked="0"/>
    </xf>
    <xf numFmtId="0" fontId="8" fillId="0" borderId="0" xfId="2" applyFont="1" applyFill="1" applyAlignment="1" applyProtection="1">
      <alignment horizontal="left" vertical="center" wrapText="1"/>
      <protection hidden="1"/>
    </xf>
    <xf numFmtId="0" fontId="0" fillId="0" borderId="0" xfId="0" applyFill="1" applyAlignment="1">
      <alignment wrapText="1"/>
    </xf>
    <xf numFmtId="0" fontId="0" fillId="0" borderId="0" xfId="0" applyAlignment="1">
      <alignment horizontal="center" wrapText="1"/>
    </xf>
    <xf numFmtId="0" fontId="12" fillId="5" borderId="0" xfId="2" applyFont="1" applyFill="1" applyBorder="1" applyAlignment="1" applyProtection="1">
      <alignment vertical="center"/>
    </xf>
    <xf numFmtId="0" fontId="12" fillId="5" borderId="0" xfId="2" applyFont="1" applyFill="1" applyBorder="1" applyAlignment="1" applyProtection="1">
      <alignment horizontal="center" vertical="center" wrapText="1"/>
    </xf>
    <xf numFmtId="0" fontId="12" fillId="5" borderId="0" xfId="2" applyFont="1" applyFill="1" applyBorder="1" applyAlignment="1" applyProtection="1">
      <alignment horizontal="left" vertical="center" wrapText="1"/>
    </xf>
    <xf numFmtId="0" fontId="9" fillId="2" borderId="0" xfId="2" applyFont="1" applyFill="1" applyBorder="1" applyAlignment="1" applyProtection="1"/>
    <xf numFmtId="0" fontId="8" fillId="5" borderId="0" xfId="2" applyFont="1" applyFill="1" applyBorder="1" applyAlignment="1" applyProtection="1">
      <alignment horizontal="left" vertical="center"/>
    </xf>
    <xf numFmtId="0" fontId="8" fillId="3" borderId="0" xfId="2" applyFont="1" applyFill="1" applyBorder="1" applyProtection="1"/>
    <xf numFmtId="0" fontId="8" fillId="5" borderId="0" xfId="2" applyFont="1" applyFill="1" applyAlignment="1" applyProtection="1">
      <alignment horizontal="center" vertical="center" wrapText="1"/>
      <protection hidden="1"/>
    </xf>
    <xf numFmtId="0" fontId="8" fillId="5" borderId="0" xfId="2" applyFont="1" applyFill="1" applyBorder="1" applyAlignment="1" applyProtection="1">
      <alignment horizontal="center" vertical="center"/>
    </xf>
    <xf numFmtId="0" fontId="8" fillId="5" borderId="0" xfId="2" applyFont="1" applyFill="1" applyBorder="1" applyAlignment="1" applyProtection="1">
      <alignment horizontal="center" vertical="center" wrapText="1"/>
    </xf>
    <xf numFmtId="0" fontId="27" fillId="5" borderId="0" xfId="2" applyFont="1" applyFill="1" applyAlignment="1" applyProtection="1">
      <alignment vertical="center"/>
    </xf>
    <xf numFmtId="0" fontId="12" fillId="6" borderId="2" xfId="2" applyFont="1" applyFill="1" applyBorder="1" applyAlignment="1" applyProtection="1">
      <alignment horizontal="center" vertical="center" wrapText="1"/>
    </xf>
    <xf numFmtId="9" fontId="12" fillId="3" borderId="2" xfId="4" applyFont="1" applyFill="1" applyBorder="1" applyAlignment="1" applyProtection="1">
      <alignment horizontal="center" vertical="center" wrapText="1"/>
    </xf>
    <xf numFmtId="0" fontId="8" fillId="6" borderId="2" xfId="2" applyFont="1" applyFill="1" applyBorder="1" applyAlignment="1" applyProtection="1">
      <alignment horizontal="center" vertical="center"/>
      <protection locked="0" hidden="1"/>
    </xf>
    <xf numFmtId="0" fontId="30" fillId="5" borderId="4" xfId="2" applyFont="1" applyFill="1" applyBorder="1" applyAlignment="1" applyProtection="1">
      <alignment horizontal="left" vertical="center"/>
      <protection hidden="1"/>
    </xf>
    <xf numFmtId="0" fontId="8" fillId="5" borderId="0" xfId="2" applyFont="1" applyFill="1" applyBorder="1" applyAlignment="1" applyProtection="1">
      <alignment horizontal="center" vertical="center"/>
    </xf>
    <xf numFmtId="169" fontId="8" fillId="3" borderId="0" xfId="2" applyNumberFormat="1" applyFont="1" applyFill="1" applyProtection="1"/>
    <xf numFmtId="4" fontId="8" fillId="5" borderId="0" xfId="2" applyNumberFormat="1" applyFont="1" applyFill="1" applyAlignment="1" applyProtection="1">
      <alignment horizontal="center" vertical="center"/>
      <protection hidden="1"/>
    </xf>
    <xf numFmtId="1" fontId="8" fillId="5" borderId="0" xfId="2" applyNumberFormat="1" applyFont="1" applyFill="1" applyAlignment="1" applyProtection="1">
      <alignment horizontal="center" vertical="center"/>
      <protection hidden="1"/>
    </xf>
    <xf numFmtId="0" fontId="8" fillId="5" borderId="0" xfId="2" applyFont="1" applyFill="1" applyAlignment="1" applyProtection="1">
      <alignment horizontal="center" vertical="center"/>
      <protection hidden="1"/>
    </xf>
    <xf numFmtId="164" fontId="30" fillId="5" borderId="4" xfId="1" applyNumberFormat="1" applyFont="1" applyFill="1" applyBorder="1" applyAlignment="1" applyProtection="1">
      <alignment horizontal="center" vertical="center"/>
      <protection hidden="1"/>
    </xf>
    <xf numFmtId="0" fontId="30" fillId="5" borderId="18" xfId="2" applyFont="1" applyFill="1" applyBorder="1" applyAlignment="1" applyProtection="1">
      <alignment horizontal="left" vertical="center"/>
      <protection hidden="1"/>
    </xf>
    <xf numFmtId="0" fontId="8" fillId="5" borderId="0" xfId="2" applyFont="1" applyFill="1" applyAlignment="1" applyProtection="1">
      <alignment vertical="center"/>
      <protection hidden="1"/>
    </xf>
    <xf numFmtId="0" fontId="8" fillId="5" borderId="0" xfId="2" applyFont="1" applyFill="1" applyAlignment="1" applyProtection="1">
      <alignment horizontal="center"/>
      <protection hidden="1"/>
    </xf>
    <xf numFmtId="0" fontId="9" fillId="2" borderId="0" xfId="2" applyFont="1" applyFill="1" applyAlignment="1" applyProtection="1">
      <alignment vertical="center" wrapText="1"/>
      <protection hidden="1"/>
    </xf>
    <xf numFmtId="0" fontId="6" fillId="2" borderId="0" xfId="3" applyFont="1" applyFill="1" applyBorder="1" applyAlignment="1" applyProtection="1">
      <alignment vertical="center"/>
      <protection hidden="1"/>
    </xf>
    <xf numFmtId="0" fontId="12" fillId="5" borderId="0" xfId="2" quotePrefix="1" applyFont="1" applyFill="1" applyBorder="1" applyAlignment="1" applyProtection="1">
      <alignment horizontal="left" vertical="center"/>
      <protection hidden="1"/>
    </xf>
    <xf numFmtId="0" fontId="7" fillId="2" borderId="0" xfId="0" applyFont="1" applyFill="1" applyAlignment="1" applyProtection="1">
      <alignment horizontal="center" vertical="top"/>
      <protection hidden="1"/>
    </xf>
    <xf numFmtId="0" fontId="6" fillId="2" borderId="0" xfId="3" applyFont="1" applyFill="1" applyAlignment="1" applyProtection="1">
      <alignment vertical="center"/>
      <protection hidden="1"/>
    </xf>
    <xf numFmtId="0" fontId="9" fillId="2" borderId="0" xfId="2" applyFont="1" applyFill="1" applyAlignment="1" applyProtection="1">
      <alignment horizontal="center" vertical="center" wrapText="1"/>
      <protection hidden="1"/>
    </xf>
    <xf numFmtId="0" fontId="7" fillId="2" borderId="0" xfId="0" applyFont="1" applyFill="1" applyAlignment="1" applyProtection="1">
      <alignment horizontal="left" vertical="center" wrapText="1"/>
      <protection hidden="1"/>
    </xf>
    <xf numFmtId="0" fontId="6" fillId="2" borderId="0" xfId="3" applyFont="1" applyFill="1" applyBorder="1" applyAlignment="1" applyProtection="1">
      <alignment vertical="center"/>
    </xf>
    <xf numFmtId="0" fontId="6" fillId="2" borderId="0" xfId="3" applyFont="1" applyFill="1" applyAlignment="1" applyProtection="1">
      <alignment vertical="center"/>
    </xf>
    <xf numFmtId="0" fontId="33" fillId="0" borderId="0" xfId="0" applyFont="1" applyAlignment="1">
      <alignment horizontal="center"/>
    </xf>
    <xf numFmtId="0" fontId="12" fillId="5" borderId="0" xfId="2" quotePrefix="1" applyFont="1" applyFill="1" applyBorder="1" applyAlignment="1" applyProtection="1">
      <alignment horizontal="left" vertical="center"/>
      <protection hidden="1"/>
    </xf>
    <xf numFmtId="0" fontId="8" fillId="5" borderId="0" xfId="2" applyFont="1" applyFill="1" applyAlignment="1" applyProtection="1">
      <alignment horizontal="left" vertical="center"/>
      <protection hidden="1"/>
    </xf>
    <xf numFmtId="0" fontId="0" fillId="6" borderId="2" xfId="0" applyFill="1" applyBorder="1" applyAlignment="1" applyProtection="1">
      <alignment horizontal="center" vertical="center"/>
      <protection locked="0"/>
    </xf>
    <xf numFmtId="0" fontId="12" fillId="5" borderId="0" xfId="2" applyFont="1" applyFill="1" applyBorder="1" applyAlignment="1" applyProtection="1">
      <alignment horizontal="center" vertical="center" wrapText="1"/>
    </xf>
    <xf numFmtId="0" fontId="8" fillId="5" borderId="0" xfId="2" applyFont="1" applyFill="1" applyBorder="1" applyAlignment="1" applyProtection="1">
      <alignment horizontal="center" vertical="center"/>
    </xf>
    <xf numFmtId="0" fontId="0" fillId="0" borderId="0" xfId="0" applyFont="1" applyAlignment="1">
      <alignment wrapText="1"/>
    </xf>
    <xf numFmtId="0" fontId="0" fillId="0" borderId="0" xfId="0" applyAlignment="1">
      <alignment horizontal="left" vertical="center" wrapText="1"/>
    </xf>
    <xf numFmtId="0" fontId="8" fillId="5" borderId="0" xfId="2" applyFont="1" applyFill="1" applyBorder="1" applyAlignment="1" applyProtection="1">
      <alignment horizontal="center" vertical="center"/>
    </xf>
    <xf numFmtId="0" fontId="12" fillId="5" borderId="0" xfId="2" quotePrefix="1" applyFont="1" applyFill="1" applyBorder="1" applyAlignment="1" applyProtection="1">
      <alignment horizontal="left" vertical="center"/>
      <protection hidden="1"/>
    </xf>
    <xf numFmtId="0" fontId="8" fillId="5" borderId="0" xfId="2" applyFont="1" applyFill="1" applyAlignment="1" applyProtection="1">
      <alignment horizontal="left" vertical="center"/>
      <protection hidden="1"/>
    </xf>
    <xf numFmtId="0" fontId="12" fillId="5" borderId="0" xfId="2" applyFont="1" applyFill="1" applyAlignment="1" applyProtection="1">
      <alignment horizontal="left" vertical="center" wrapText="1"/>
    </xf>
    <xf numFmtId="0" fontId="0" fillId="5" borderId="0" xfId="0" applyFill="1" applyBorder="1" applyAlignment="1" applyProtection="1">
      <alignment horizontal="center" vertical="center"/>
      <protection locked="0"/>
    </xf>
    <xf numFmtId="9" fontId="0" fillId="5" borderId="0" xfId="4" applyFont="1" applyFill="1" applyBorder="1" applyAlignment="1" applyProtection="1">
      <alignment horizontal="center" vertical="center"/>
      <protection locked="0"/>
    </xf>
    <xf numFmtId="170" fontId="54" fillId="5" borderId="0" xfId="0" applyNumberFormat="1" applyFont="1" applyFill="1" applyBorder="1" applyAlignment="1" applyProtection="1">
      <alignment horizontal="center" vertical="center"/>
    </xf>
    <xf numFmtId="0" fontId="6" fillId="2" borderId="0" xfId="3" applyFont="1" applyFill="1" applyBorder="1" applyAlignment="1" applyProtection="1">
      <alignment horizontal="center" vertical="center"/>
    </xf>
    <xf numFmtId="0" fontId="8" fillId="4" borderId="0" xfId="2" applyFont="1" applyFill="1" applyAlignment="1" applyProtection="1">
      <alignment horizontal="center"/>
    </xf>
    <xf numFmtId="0" fontId="13" fillId="2" borderId="0" xfId="2" applyFont="1" applyFill="1" applyAlignment="1" applyProtection="1">
      <alignment horizontal="center" vertical="center"/>
    </xf>
    <xf numFmtId="0" fontId="12" fillId="5" borderId="0" xfId="2" applyFont="1" applyFill="1" applyBorder="1" applyAlignment="1" applyProtection="1">
      <alignment horizontal="center" vertical="center"/>
    </xf>
    <xf numFmtId="0" fontId="8" fillId="3" borderId="0" xfId="2" applyFont="1" applyFill="1" applyAlignment="1" applyProtection="1">
      <alignment horizontal="center"/>
    </xf>
    <xf numFmtId="0" fontId="8" fillId="5" borderId="0" xfId="2" applyFont="1" applyFill="1" applyAlignment="1" applyProtection="1">
      <alignment horizontal="left" vertical="center"/>
      <protection hidden="1"/>
    </xf>
    <xf numFmtId="0" fontId="8" fillId="5" borderId="0" xfId="2" applyFont="1" applyFill="1" applyAlignment="1" applyProtection="1">
      <alignment horizontal="left"/>
      <protection hidden="1"/>
    </xf>
    <xf numFmtId="0" fontId="8" fillId="5" borderId="7" xfId="2" applyFont="1" applyFill="1" applyBorder="1" applyAlignment="1" applyProtection="1">
      <alignment vertical="center" wrapText="1"/>
      <protection hidden="1"/>
    </xf>
    <xf numFmtId="0" fontId="8" fillId="6" borderId="2" xfId="2" applyFont="1" applyFill="1" applyBorder="1" applyAlignment="1" applyProtection="1">
      <alignment horizontal="center" vertical="center"/>
      <protection hidden="1"/>
    </xf>
    <xf numFmtId="4" fontId="8" fillId="5" borderId="0" xfId="1" applyNumberFormat="1" applyFont="1" applyFill="1" applyBorder="1" applyAlignment="1" applyProtection="1">
      <alignment horizontal="center" vertical="center"/>
    </xf>
    <xf numFmtId="4" fontId="8" fillId="5" borderId="0" xfId="2" applyNumberFormat="1" applyFont="1" applyFill="1" applyBorder="1" applyAlignment="1" applyProtection="1">
      <alignment horizontal="center" vertical="center"/>
    </xf>
    <xf numFmtId="0" fontId="9" fillId="2" borderId="0" xfId="2" applyFont="1" applyFill="1" applyAlignment="1" applyProtection="1">
      <alignment horizontal="left" vertical="center" wrapText="1"/>
    </xf>
    <xf numFmtId="0" fontId="12" fillId="5" borderId="0" xfId="2" quotePrefix="1" applyFont="1" applyFill="1" applyBorder="1" applyAlignment="1" applyProtection="1">
      <alignment horizontal="left" vertical="center"/>
      <protection hidden="1"/>
    </xf>
    <xf numFmtId="0" fontId="8" fillId="5" borderId="0" xfId="2" applyFont="1" applyFill="1" applyAlignment="1" applyProtection="1">
      <alignment horizontal="center" vertical="center" wrapText="1"/>
      <protection hidden="1"/>
    </xf>
    <xf numFmtId="0" fontId="8" fillId="5" borderId="0" xfId="2" applyFont="1" applyFill="1" applyAlignment="1" applyProtection="1">
      <alignment horizontal="left" vertical="center"/>
      <protection hidden="1"/>
    </xf>
    <xf numFmtId="0" fontId="12" fillId="5" borderId="0" xfId="2" applyFont="1" applyFill="1" applyAlignment="1" applyProtection="1">
      <alignment horizontal="left" vertical="center" wrapText="1"/>
    </xf>
    <xf numFmtId="0" fontId="8" fillId="5" borderId="0" xfId="2" applyFont="1" applyFill="1" applyAlignment="1" applyProtection="1">
      <alignment horizontal="left"/>
      <protection hidden="1"/>
    </xf>
    <xf numFmtId="0" fontId="8" fillId="5" borderId="0" xfId="2" applyFont="1" applyFill="1" applyBorder="1" applyAlignment="1" applyProtection="1">
      <alignment horizontal="center" vertical="center"/>
    </xf>
    <xf numFmtId="171" fontId="48" fillId="0" borderId="0" xfId="0" applyNumberFormat="1" applyFont="1" applyAlignment="1" applyProtection="1">
      <alignment horizontal="left" vertical="center" indent="1"/>
      <protection hidden="1"/>
    </xf>
    <xf numFmtId="171" fontId="47" fillId="0" borderId="0" xfId="0" applyNumberFormat="1" applyFont="1" applyAlignment="1" applyProtection="1">
      <alignment horizontal="left" vertical="center" indent="1"/>
      <protection hidden="1"/>
    </xf>
    <xf numFmtId="171" fontId="51" fillId="10" borderId="16" xfId="6" applyNumberFormat="1" applyFont="1" applyAlignment="1" applyProtection="1">
      <alignment horizontal="left" vertical="center" indent="1"/>
      <protection hidden="1"/>
    </xf>
    <xf numFmtId="171" fontId="46" fillId="12" borderId="0" xfId="0" applyNumberFormat="1" applyFont="1" applyFill="1" applyAlignment="1" applyProtection="1">
      <alignment horizontal="left" vertical="center" indent="1"/>
      <protection hidden="1"/>
    </xf>
    <xf numFmtId="171" fontId="47" fillId="0" borderId="0" xfId="0" applyNumberFormat="1" applyFont="1" applyProtection="1">
      <protection hidden="1"/>
    </xf>
    <xf numFmtId="171" fontId="48" fillId="0" borderId="0" xfId="0" applyNumberFormat="1" applyFont="1" applyProtection="1">
      <protection hidden="1"/>
    </xf>
    <xf numFmtId="171" fontId="49" fillId="0" borderId="0" xfId="0" applyNumberFormat="1" applyFont="1" applyAlignment="1" applyProtection="1">
      <alignment horizontal="left" vertical="center" indent="1"/>
      <protection hidden="1"/>
    </xf>
    <xf numFmtId="171" fontId="46" fillId="14" borderId="0" xfId="0" applyNumberFormat="1" applyFont="1" applyFill="1" applyAlignment="1" applyProtection="1">
      <alignment horizontal="left" vertical="center" indent="1"/>
      <protection hidden="1"/>
    </xf>
    <xf numFmtId="171" fontId="46" fillId="0" borderId="0" xfId="0" applyNumberFormat="1" applyFont="1" applyFill="1" applyAlignment="1" applyProtection="1">
      <alignment horizontal="left" vertical="center" indent="1"/>
      <protection hidden="1"/>
    </xf>
    <xf numFmtId="171" fontId="52" fillId="0" borderId="0" xfId="4" applyNumberFormat="1" applyFont="1" applyFill="1" applyAlignment="1" applyProtection="1">
      <alignment horizontal="left" vertical="center" indent="1"/>
      <protection hidden="1"/>
    </xf>
    <xf numFmtId="171" fontId="49" fillId="0" borderId="0" xfId="0" applyNumberFormat="1" applyFont="1" applyFill="1" applyAlignment="1" applyProtection="1">
      <alignment horizontal="left" vertical="center" indent="1"/>
      <protection hidden="1"/>
    </xf>
    <xf numFmtId="171" fontId="46" fillId="0" borderId="0" xfId="0" applyNumberFormat="1" applyFont="1" applyAlignment="1" applyProtection="1">
      <alignment horizontal="left" vertical="center" indent="1"/>
      <protection hidden="1"/>
    </xf>
    <xf numFmtId="171" fontId="47" fillId="13" borderId="0" xfId="0" applyNumberFormat="1" applyFont="1" applyFill="1" applyAlignment="1" applyProtection="1">
      <alignment horizontal="left" vertical="center" indent="1"/>
      <protection hidden="1"/>
    </xf>
    <xf numFmtId="171" fontId="50" fillId="11" borderId="16" xfId="7" applyNumberFormat="1" applyFont="1" applyAlignment="1" applyProtection="1">
      <alignment horizontal="left" vertical="center" indent="1"/>
      <protection hidden="1"/>
    </xf>
    <xf numFmtId="0" fontId="8" fillId="5" borderId="0" xfId="2" applyFont="1" applyFill="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8" fillId="5" borderId="0" xfId="2" applyFont="1" applyFill="1" applyAlignment="1" applyProtection="1">
      <protection hidden="1"/>
    </xf>
    <xf numFmtId="0" fontId="9" fillId="2" borderId="0" xfId="2" applyFont="1" applyFill="1" applyAlignment="1" applyProtection="1">
      <alignment vertical="center" wrapText="1"/>
    </xf>
    <xf numFmtId="0" fontId="28" fillId="5" borderId="0" xfId="2" applyFont="1" applyFill="1" applyAlignment="1" applyProtection="1">
      <protection hidden="1"/>
    </xf>
    <xf numFmtId="0" fontId="16" fillId="5" borderId="3" xfId="2" applyFont="1" applyFill="1" applyBorder="1" applyAlignment="1" applyProtection="1">
      <alignment horizontal="left" vertical="center"/>
      <protection hidden="1"/>
    </xf>
    <xf numFmtId="171" fontId="16" fillId="5" borderId="4" xfId="1" applyNumberFormat="1" applyFont="1" applyFill="1" applyBorder="1" applyAlignment="1" applyProtection="1">
      <alignment horizontal="center" vertical="center"/>
      <protection hidden="1"/>
    </xf>
    <xf numFmtId="172" fontId="53" fillId="3" borderId="2" xfId="2" applyNumberFormat="1" applyFont="1" applyFill="1" applyBorder="1" applyAlignment="1" applyProtection="1">
      <alignment horizontal="center" vertical="center"/>
    </xf>
    <xf numFmtId="0" fontId="12" fillId="5" borderId="0" xfId="2" quotePrefix="1" applyFont="1" applyFill="1" applyBorder="1" applyAlignment="1" applyProtection="1">
      <alignment horizontal="left" vertical="center"/>
      <protection hidden="1"/>
    </xf>
    <xf numFmtId="9" fontId="53" fillId="3" borderId="2" xfId="2" applyNumberFormat="1" applyFont="1" applyFill="1" applyBorder="1" applyAlignment="1" applyProtection="1">
      <alignment vertical="center"/>
    </xf>
    <xf numFmtId="0" fontId="8" fillId="2" borderId="0" xfId="2" quotePrefix="1" applyFont="1" applyFill="1" applyBorder="1" applyAlignment="1">
      <alignment horizontal="left" vertical="center"/>
    </xf>
    <xf numFmtId="0" fontId="9" fillId="2" borderId="0" xfId="2" applyFont="1" applyFill="1" applyBorder="1" applyAlignment="1">
      <alignment horizontal="left"/>
    </xf>
    <xf numFmtId="0" fontId="8" fillId="2" borderId="0" xfId="2" applyFont="1" applyFill="1" applyBorder="1" applyAlignment="1">
      <alignment horizontal="left" vertical="center"/>
    </xf>
    <xf numFmtId="164" fontId="8" fillId="2" borderId="0" xfId="1" applyNumberFormat="1" applyFont="1" applyFill="1" applyBorder="1" applyAlignment="1">
      <alignment horizontal="center" vertical="center"/>
    </xf>
    <xf numFmtId="0" fontId="8" fillId="2" borderId="0" xfId="2" applyFont="1" applyFill="1" applyBorder="1" applyAlignment="1">
      <alignment horizontal="center" vertical="center"/>
    </xf>
    <xf numFmtId="0" fontId="8" fillId="2" borderId="0" xfId="2" quotePrefix="1" applyFont="1" applyFill="1" applyBorder="1" applyAlignment="1">
      <alignment horizontal="left" wrapText="1"/>
    </xf>
    <xf numFmtId="0" fontId="8" fillId="2" borderId="0" xfId="2" applyFont="1" applyFill="1" applyBorder="1" applyAlignment="1">
      <alignment horizontal="left" vertical="center" wrapText="1"/>
    </xf>
    <xf numFmtId="0" fontId="3" fillId="2" borderId="0" xfId="0" applyFont="1" applyFill="1" applyAlignment="1" applyProtection="1">
      <alignment horizontal="left" vertical="center" wrapText="1"/>
      <protection hidden="1"/>
    </xf>
    <xf numFmtId="0" fontId="3" fillId="2" borderId="0" xfId="0" applyFont="1" applyFill="1" applyAlignment="1" applyProtection="1">
      <alignment horizontal="left" vertical="top" wrapText="1"/>
      <protection hidden="1"/>
    </xf>
    <xf numFmtId="0" fontId="15" fillId="2" borderId="0" xfId="0" applyFont="1" applyFill="1" applyAlignment="1" applyProtection="1">
      <alignment horizontal="left" vertical="center" wrapText="1"/>
      <protection hidden="1"/>
    </xf>
    <xf numFmtId="0" fontId="16" fillId="2" borderId="0" xfId="2" applyFont="1" applyFill="1" applyBorder="1" applyAlignment="1">
      <alignment horizontal="left" vertical="center"/>
    </xf>
    <xf numFmtId="164" fontId="16" fillId="2" borderId="0" xfId="1" applyNumberFormat="1" applyFont="1" applyFill="1" applyBorder="1" applyAlignment="1">
      <alignment horizontal="center" vertical="center"/>
    </xf>
    <xf numFmtId="0" fontId="9" fillId="2" borderId="0" xfId="2" applyFont="1" applyFill="1" applyAlignment="1" applyProtection="1">
      <alignment horizontal="left" vertical="center" wrapText="1"/>
      <protection hidden="1"/>
    </xf>
    <xf numFmtId="0" fontId="7" fillId="2" borderId="0" xfId="0" applyFont="1" applyFill="1" applyAlignment="1" applyProtection="1">
      <alignment horizontal="left" vertical="center" wrapText="1"/>
      <protection hidden="1"/>
    </xf>
    <xf numFmtId="0" fontId="8" fillId="2" borderId="0" xfId="2" applyFont="1" applyFill="1" applyBorder="1" applyAlignment="1" applyProtection="1">
      <alignment horizontal="center" vertical="center"/>
      <protection hidden="1"/>
    </xf>
    <xf numFmtId="0" fontId="8" fillId="2" borderId="0" xfId="2" quotePrefix="1" applyFont="1" applyFill="1" applyBorder="1" applyAlignment="1" applyProtection="1">
      <alignment horizontal="left" vertical="center" wrapText="1"/>
      <protection hidden="1"/>
    </xf>
    <xf numFmtId="0" fontId="9" fillId="2" borderId="0" xfId="2" applyFont="1" applyFill="1" applyBorder="1" applyAlignment="1">
      <alignment horizontal="left" vertical="center"/>
    </xf>
    <xf numFmtId="0" fontId="22" fillId="5" borderId="0" xfId="3" applyFont="1" applyFill="1" applyAlignment="1" applyProtection="1">
      <alignment horizontal="left" vertical="top" wrapText="1"/>
      <protection hidden="1"/>
    </xf>
    <xf numFmtId="0" fontId="9" fillId="2" borderId="0" xfId="2" applyFont="1" applyFill="1" applyAlignment="1" applyProtection="1">
      <alignment horizontal="left" vertical="center" wrapText="1"/>
    </xf>
    <xf numFmtId="0" fontId="8" fillId="5" borderId="7" xfId="2" applyFont="1" applyFill="1" applyBorder="1" applyAlignment="1" applyProtection="1">
      <alignment horizontal="center" vertical="center" wrapText="1"/>
      <protection hidden="1"/>
    </xf>
    <xf numFmtId="0" fontId="8" fillId="6" borderId="5" xfId="2" applyFont="1" applyFill="1" applyBorder="1" applyAlignment="1" applyProtection="1">
      <alignment horizontal="center" vertical="center"/>
      <protection hidden="1"/>
    </xf>
    <xf numFmtId="0" fontId="8" fillId="6" borderId="6" xfId="2" applyFont="1" applyFill="1" applyBorder="1" applyAlignment="1" applyProtection="1">
      <alignment horizontal="center" vertical="center"/>
      <protection hidden="1"/>
    </xf>
    <xf numFmtId="0" fontId="12" fillId="5" borderId="0" xfId="2" quotePrefix="1" applyFont="1" applyFill="1" applyBorder="1" applyAlignment="1" applyProtection="1">
      <alignment horizontal="left" vertical="center"/>
      <protection hidden="1"/>
    </xf>
    <xf numFmtId="0" fontId="8" fillId="3" borderId="5" xfId="2" applyFont="1" applyFill="1" applyBorder="1" applyAlignment="1" applyProtection="1">
      <alignment horizontal="center" vertical="center"/>
      <protection hidden="1"/>
    </xf>
    <xf numFmtId="0" fontId="8" fillId="3" borderId="6" xfId="2" applyFont="1" applyFill="1" applyBorder="1" applyAlignment="1" applyProtection="1">
      <alignment horizontal="center" vertical="center"/>
      <protection hidden="1"/>
    </xf>
    <xf numFmtId="0" fontId="9" fillId="2" borderId="0" xfId="2" applyFont="1" applyFill="1" applyAlignment="1" applyProtection="1">
      <alignment horizontal="left"/>
      <protection hidden="1"/>
    </xf>
    <xf numFmtId="0" fontId="8" fillId="5" borderId="0" xfId="2" applyFont="1" applyFill="1" applyAlignment="1" applyProtection="1">
      <alignment horizontal="center" vertical="center" wrapText="1"/>
      <protection hidden="1"/>
    </xf>
    <xf numFmtId="0" fontId="8" fillId="5" borderId="0" xfId="2" applyFont="1" applyFill="1" applyAlignment="1" applyProtection="1">
      <alignment horizontal="left" vertical="center"/>
      <protection hidden="1"/>
    </xf>
    <xf numFmtId="0" fontId="8" fillId="5" borderId="1" xfId="2" applyFont="1" applyFill="1" applyBorder="1" applyAlignment="1" applyProtection="1">
      <alignment horizontal="left" vertical="center"/>
      <protection hidden="1"/>
    </xf>
    <xf numFmtId="0" fontId="8" fillId="3" borderId="2" xfId="2"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0" fontId="12" fillId="5" borderId="0" xfId="2" applyFont="1" applyFill="1" applyAlignment="1" applyProtection="1">
      <alignment horizontal="center" vertical="center" wrapText="1"/>
    </xf>
    <xf numFmtId="0" fontId="12" fillId="5" borderId="0" xfId="2" applyFont="1" applyFill="1" applyAlignment="1" applyProtection="1">
      <alignment horizontal="left" vertical="center" wrapText="1"/>
    </xf>
    <xf numFmtId="9" fontId="0" fillId="6" borderId="2" xfId="4" applyFont="1" applyFill="1" applyBorder="1" applyAlignment="1" applyProtection="1">
      <alignment horizontal="center" vertical="center"/>
      <protection locked="0"/>
    </xf>
    <xf numFmtId="0" fontId="12" fillId="5" borderId="0" xfId="2" applyFont="1" applyFill="1" applyBorder="1" applyAlignment="1" applyProtection="1">
      <alignment horizontal="center" vertical="center" wrapText="1"/>
    </xf>
    <xf numFmtId="9" fontId="54" fillId="3" borderId="2" xfId="0" applyNumberFormat="1" applyFont="1" applyFill="1" applyBorder="1" applyAlignment="1" applyProtection="1">
      <alignment horizontal="center" vertical="center"/>
    </xf>
    <xf numFmtId="0" fontId="8" fillId="5" borderId="0" xfId="2" applyFont="1" applyFill="1" applyAlignment="1" applyProtection="1">
      <alignment horizontal="left"/>
      <protection hidden="1"/>
    </xf>
    <xf numFmtId="0" fontId="12" fillId="5" borderId="1" xfId="2" applyFont="1" applyFill="1" applyBorder="1" applyAlignment="1" applyProtection="1">
      <alignment horizontal="left" vertical="center" wrapText="1"/>
    </xf>
    <xf numFmtId="0" fontId="12" fillId="5" borderId="0" xfId="2" applyFont="1" applyFill="1" applyAlignment="1" applyProtection="1">
      <alignment horizontal="left" vertical="center"/>
    </xf>
    <xf numFmtId="0" fontId="12" fillId="5" borderId="1" xfId="2" applyFont="1" applyFill="1" applyBorder="1" applyAlignment="1" applyProtection="1">
      <alignment horizontal="left" vertical="center"/>
    </xf>
    <xf numFmtId="0" fontId="8" fillId="5" borderId="0" xfId="2" applyFont="1" applyFill="1" applyBorder="1" applyAlignment="1" applyProtection="1">
      <alignment horizontal="center" vertical="center"/>
    </xf>
    <xf numFmtId="164" fontId="8" fillId="5" borderId="0" xfId="1" applyNumberFormat="1" applyFont="1" applyFill="1" applyBorder="1" applyAlignment="1" applyProtection="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33" fillId="0" borderId="0" xfId="0" applyFont="1" applyAlignment="1">
      <alignment horizontal="center"/>
    </xf>
    <xf numFmtId="0" fontId="32" fillId="0" borderId="0" xfId="0" applyFont="1" applyAlignment="1">
      <alignment horizontal="center"/>
    </xf>
    <xf numFmtId="0" fontId="44" fillId="9" borderId="2" xfId="5" applyFont="1" applyBorder="1" applyAlignment="1" applyProtection="1">
      <alignment horizontal="center"/>
    </xf>
    <xf numFmtId="0" fontId="44" fillId="9" borderId="2" xfId="5" applyFont="1" applyBorder="1" applyAlignment="1" applyProtection="1">
      <alignment horizontal="center" vertical="center" wrapText="1"/>
    </xf>
    <xf numFmtId="167" fontId="44" fillId="9" borderId="2" xfId="5" applyNumberFormat="1" applyFont="1" applyBorder="1" applyAlignment="1" applyProtection="1">
      <alignment horizontal="center" vertical="center" wrapText="1"/>
    </xf>
    <xf numFmtId="0" fontId="44" fillId="9" borderId="2" xfId="5" applyFont="1" applyBorder="1" applyAlignment="1" applyProtection="1">
      <alignment horizontal="center" vertical="center"/>
    </xf>
    <xf numFmtId="0" fontId="44" fillId="9" borderId="2" xfId="5" applyFont="1" applyBorder="1" applyAlignment="1">
      <alignment horizontal="center" wrapText="1"/>
    </xf>
    <xf numFmtId="0" fontId="44" fillId="9" borderId="5" xfId="5" applyFont="1" applyBorder="1" applyAlignment="1" applyProtection="1">
      <alignment horizontal="center" vertical="center" wrapText="1"/>
    </xf>
    <xf numFmtId="0" fontId="44" fillId="9" borderId="17" xfId="5" applyFont="1" applyBorder="1" applyAlignment="1" applyProtection="1">
      <alignment horizontal="center" vertical="center" wrapText="1"/>
    </xf>
    <xf numFmtId="0" fontId="44" fillId="9" borderId="6" xfId="5" applyFont="1" applyBorder="1" applyAlignment="1" applyProtection="1">
      <alignment horizontal="center" vertical="center" wrapText="1"/>
    </xf>
    <xf numFmtId="0" fontId="16" fillId="5" borderId="4" xfId="2" applyFont="1" applyFill="1" applyBorder="1" applyAlignment="1" applyProtection="1">
      <alignment horizontal="left" vertical="center"/>
      <protection hidden="1"/>
    </xf>
    <xf numFmtId="0" fontId="16" fillId="5" borderId="18" xfId="2" applyFont="1" applyFill="1" applyBorder="1" applyAlignment="1" applyProtection="1">
      <alignment horizontal="left" vertical="center"/>
      <protection hidden="1"/>
    </xf>
    <xf numFmtId="0" fontId="8" fillId="6" borderId="17" xfId="2" applyFont="1" applyFill="1" applyBorder="1" applyAlignment="1" applyProtection="1">
      <alignment horizontal="center" vertical="center"/>
      <protection hidden="1"/>
    </xf>
    <xf numFmtId="0" fontId="12" fillId="5" borderId="0" xfId="2" applyFont="1" applyFill="1" applyAlignment="1" applyProtection="1">
      <alignment horizontal="center" vertical="center"/>
    </xf>
    <xf numFmtId="0" fontId="12" fillId="5" borderId="7" xfId="2" applyFont="1" applyFill="1" applyBorder="1" applyAlignment="1" applyProtection="1">
      <alignment horizontal="center" vertical="center" wrapText="1"/>
    </xf>
    <xf numFmtId="0" fontId="0" fillId="6" borderId="5"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9" fontId="0" fillId="6" borderId="5" xfId="4" applyFont="1" applyFill="1" applyBorder="1" applyAlignment="1" applyProtection="1">
      <alignment horizontal="center" vertical="center"/>
      <protection locked="0"/>
    </xf>
    <xf numFmtId="9" fontId="0" fillId="6" borderId="17" xfId="4" applyFont="1" applyFill="1" applyBorder="1" applyAlignment="1" applyProtection="1">
      <alignment horizontal="center" vertical="center"/>
      <protection locked="0"/>
    </xf>
    <xf numFmtId="9" fontId="0" fillId="6" borderId="6" xfId="4" applyFont="1" applyFill="1" applyBorder="1" applyAlignment="1" applyProtection="1">
      <alignment horizontal="center" vertical="center"/>
      <protection locked="0"/>
    </xf>
    <xf numFmtId="172" fontId="54" fillId="3" borderId="2" xfId="0" applyNumberFormat="1" applyFont="1" applyFill="1" applyBorder="1" applyAlignment="1" applyProtection="1">
      <alignment horizontal="center" vertical="center"/>
    </xf>
    <xf numFmtId="0" fontId="0" fillId="6" borderId="17" xfId="0" applyFill="1" applyBorder="1" applyAlignment="1" applyProtection="1">
      <alignment horizontal="center" vertical="center"/>
      <protection locked="0"/>
    </xf>
  </cellXfs>
  <cellStyles count="8">
    <cellStyle name="Beregning" xfId="7" builtinId="22"/>
    <cellStyle name="Input" xfId="6" builtinId="20"/>
    <cellStyle name="Komma" xfId="1" builtinId="3"/>
    <cellStyle name="Link" xfId="3" builtinId="8"/>
    <cellStyle name="Neutral" xfId="5" builtinId="28"/>
    <cellStyle name="Normal" xfId="0" builtinId="0"/>
    <cellStyle name="Normal 2" xfId="2"/>
    <cellStyle name="Procent" xfId="4" builtinId="5"/>
  </cellStyles>
  <dxfs count="124">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b/>
        <i val="0"/>
      </font>
      <fill>
        <patternFill>
          <bgColor theme="9" tint="0.59996337778862885"/>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dxf>
    <dxf>
      <font>
        <color theme="9" tint="0.59996337778862885"/>
      </font>
      <fill>
        <patternFill>
          <bgColor theme="9" tint="0.59996337778862885"/>
        </patternFill>
      </fill>
      <border>
        <left style="thin">
          <color auto="1"/>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style="thin">
          <color auto="1"/>
        </right>
        <top style="thin">
          <color auto="1"/>
        </top>
        <bottom style="thin">
          <color auto="1"/>
        </bottom>
        <vertical/>
        <horizontal/>
      </border>
    </dxf>
    <dxf>
      <fill>
        <patternFill>
          <bgColor theme="9" tint="0.59996337778862885"/>
        </patternFill>
      </fill>
      <border>
        <left style="thin">
          <color auto="1"/>
        </left>
        <right/>
        <top/>
        <bottom/>
        <vertical/>
        <horizontal/>
      </border>
    </dxf>
    <dxf>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val="0"/>
        <i val="0"/>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fill>
        <patternFill>
          <bgColor theme="0" tint="-0.14996795556505021"/>
        </patternFill>
      </fill>
      <border>
        <left style="thin">
          <color auto="1"/>
        </left>
        <right style="thin">
          <color auto="1"/>
        </right>
        <top style="thin">
          <color auto="1"/>
        </top>
        <bottom style="thin">
          <color auto="1"/>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style="thin">
          <color auto="1"/>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style="thin">
          <color auto="1"/>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9" tint="0.59996337778862885"/>
      </font>
      <fill>
        <patternFill>
          <bgColor theme="9" tint="0.59996337778862885"/>
        </patternFill>
      </fill>
      <border>
        <left/>
        <right/>
        <top/>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
      <fill>
        <patternFill>
          <bgColor theme="9" tint="0.59996337778862885"/>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regneark'!$V$4:$V$6</c:f>
              <c:numCache>
                <c:formatCode>;;\ ;</c:formatCode>
                <c:ptCount val="3"/>
                <c:pt idx="0">
                  <c:v>1000</c:v>
                </c:pt>
                <c:pt idx="1">
                  <c:v>100</c:v>
                </c:pt>
                <c:pt idx="2">
                  <c:v>10</c:v>
                </c:pt>
              </c:numCache>
            </c:numRef>
          </c:xVal>
          <c:yVal>
            <c:numRef>
              <c:f>'Grise-Virkningsgrad regneark'!$W$4:$W$6</c:f>
              <c:numCache>
                <c:formatCode>;;\ ;</c:formatCode>
                <c:ptCount val="3"/>
                <c:pt idx="0">
                  <c:v>0.96</c:v>
                </c:pt>
                <c:pt idx="1">
                  <c:v>0.95</c:v>
                </c:pt>
                <c:pt idx="2">
                  <c:v>0.94</c:v>
                </c:pt>
              </c:numCache>
            </c:numRef>
          </c:yVal>
          <c:smooth val="0"/>
          <c:extLst>
            <c:ext xmlns:c16="http://schemas.microsoft.com/office/drawing/2014/chart" uri="{C3380CC4-5D6E-409C-BE32-E72D297353CC}">
              <c16:uniqueId val="{00000000-05D5-43B1-9823-07D0D5A0EAD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'Kyllinge-Virkningsgrad regneark'!$M$4:$M$8</c:f>
              <c:strCache>
                <c:ptCount val="5"/>
                <c:pt idx="0">
                  <c:v>Træpiller</c:v>
                </c:pt>
                <c:pt idx="1">
                  <c:v>Brænde</c:v>
                </c:pt>
                <c:pt idx="2">
                  <c:v>Flis</c:v>
                </c:pt>
                <c:pt idx="3">
                  <c:v>Halm</c:v>
                </c:pt>
                <c:pt idx="4">
                  <c:v>Olie</c:v>
                </c:pt>
              </c:strCache>
            </c:strRef>
          </c:cat>
          <c:val>
            <c:numRef>
              <c:f>'Kyllinge-Virkningsgrad regneark'!$N$4:$N$8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3096-4D9D-BF37-520C4F410B0A}"/>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'Kyllinge-Virkningsgrad regneark'!$G$12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'Kyllinge-Virkningsgrad regneark'!$F$13:$F$15</c:f>
              <c:numCache>
                <c:formatCode>0.0</c:formatCode>
                <c:ptCount val="3"/>
                <c:pt idx="0">
                  <c:v>1</c:v>
                </c:pt>
                <c:pt idx="1">
                  <c:v>10</c:v>
                </c:pt>
                <c:pt idx="2">
                  <c:v>30</c:v>
                </c:pt>
              </c:numCache>
            </c:numRef>
          </c:xVal>
          <c:yVal>
            <c:numRef>
              <c:f>'Kyllinge-Virkningsgrad regneark'!$G$13:$G$15</c:f>
              <c:numCache>
                <c:formatCode>0.0</c:formatCode>
                <c:ptCount val="3"/>
                <c:pt idx="0">
                  <c:v>0</c:v>
                </c:pt>
                <c:pt idx="1">
                  <c:v>0</c:v>
                </c:pt>
                <c:pt idx="2">
                  <c:v>0</c:v>
                </c:pt>
              </c:numCache>
            </c:numRef>
          </c:yVal>
          <c:smooth val="0"/>
          <c:extLst>
            <c:ext xmlns:c16="http://schemas.microsoft.com/office/drawing/2014/chart" uri="{C3380CC4-5D6E-409C-BE32-E72D297353CC}">
              <c16:uniqueId val="{00000000-0C4E-48C8-9573-46F244CF9A2C}"/>
            </c:ext>
          </c:extLst>
        </c:ser>
        <c:ser>
          <c:idx val="1"/>
          <c:order val="1"/>
          <c:tx>
            <c:strRef>
              <c:f>'Kyllinge-Virkningsgrad regneark'!$H$12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'Kyllinge-Virkningsgrad regneark'!$F$13:$F$15</c:f>
              <c:numCache>
                <c:formatCode>0.0</c:formatCode>
                <c:ptCount val="3"/>
                <c:pt idx="0">
                  <c:v>1</c:v>
                </c:pt>
                <c:pt idx="1">
                  <c:v>10</c:v>
                </c:pt>
                <c:pt idx="2">
                  <c:v>30</c:v>
                </c:pt>
              </c:numCache>
            </c:numRef>
          </c:xVal>
          <c:yVal>
            <c:numRef>
              <c:f>'Kyllinge-Virkningsgrad regneark'!$H$13:$H$15</c:f>
              <c:numCache>
                <c:formatCode>0.0</c:formatCode>
                <c:ptCount val="3"/>
                <c:pt idx="0">
                  <c:v>0</c:v>
                </c:pt>
                <c:pt idx="1">
                  <c:v>0</c:v>
                </c:pt>
                <c:pt idx="2">
                  <c:v>0</c:v>
                </c:pt>
              </c:numCache>
            </c:numRef>
          </c:yVal>
          <c:smooth val="0"/>
          <c:extLst>
            <c:ext xmlns:c16="http://schemas.microsoft.com/office/drawing/2014/chart" uri="{C3380CC4-5D6E-409C-BE32-E72D297353CC}">
              <c16:uniqueId val="{00000001-0C4E-48C8-9573-46F244CF9A2C}"/>
            </c:ext>
          </c:extLst>
        </c:ser>
        <c:ser>
          <c:idx val="2"/>
          <c:order val="2"/>
          <c:tx>
            <c:strRef>
              <c:f>'Kyllinge-Virkningsgrad regneark'!$I$12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'Kyllinge-Virkningsgrad regneark'!$F$13:$F$15</c:f>
              <c:numCache>
                <c:formatCode>0.0</c:formatCode>
                <c:ptCount val="3"/>
                <c:pt idx="0">
                  <c:v>1</c:v>
                </c:pt>
                <c:pt idx="1">
                  <c:v>10</c:v>
                </c:pt>
                <c:pt idx="2">
                  <c:v>30</c:v>
                </c:pt>
              </c:numCache>
            </c:numRef>
          </c:xVal>
          <c:yVal>
            <c:numRef>
              <c:f>'Kyllinge-Virkningsgrad regneark'!$I$13:$I$15</c:f>
              <c:numCache>
                <c:formatCode>0.0</c:formatCode>
                <c:ptCount val="3"/>
                <c:pt idx="0">
                  <c:v>0</c:v>
                </c:pt>
                <c:pt idx="1">
                  <c:v>0</c:v>
                </c:pt>
                <c:pt idx="2">
                  <c:v>0</c:v>
                </c:pt>
              </c:numCache>
            </c:numRef>
          </c:yVal>
          <c:smooth val="0"/>
          <c:extLst>
            <c:ext xmlns:c16="http://schemas.microsoft.com/office/drawing/2014/chart" uri="{C3380CC4-5D6E-409C-BE32-E72D297353CC}">
              <c16:uniqueId val="{00000002-0C4E-48C8-9573-46F244CF9A2C}"/>
            </c:ext>
          </c:extLst>
        </c:ser>
        <c:ser>
          <c:idx val="3"/>
          <c:order val="3"/>
          <c:tx>
            <c:strRef>
              <c:f>'Kyllinge-Virkningsgrad regneark'!$J$12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'Kyllinge-Virkningsgrad regneark'!$F$13:$F$15</c:f>
              <c:numCache>
                <c:formatCode>0.0</c:formatCode>
                <c:ptCount val="3"/>
                <c:pt idx="0">
                  <c:v>1</c:v>
                </c:pt>
                <c:pt idx="1">
                  <c:v>10</c:v>
                </c:pt>
                <c:pt idx="2">
                  <c:v>30</c:v>
                </c:pt>
              </c:numCache>
            </c:numRef>
          </c:xVal>
          <c:yVal>
            <c:numRef>
              <c:f>'Kyllinge-Virkningsgrad regneark'!$J$13:$J$15</c:f>
              <c:numCache>
                <c:formatCode>0.0</c:formatCode>
                <c:ptCount val="3"/>
                <c:pt idx="0">
                  <c:v>0</c:v>
                </c:pt>
                <c:pt idx="1">
                  <c:v>0</c:v>
                </c:pt>
                <c:pt idx="2">
                  <c:v>0</c:v>
                </c:pt>
              </c:numCache>
            </c:numRef>
          </c:yVal>
          <c:smooth val="0"/>
          <c:extLst>
            <c:ext xmlns:c16="http://schemas.microsoft.com/office/drawing/2014/chart" uri="{C3380CC4-5D6E-409C-BE32-E72D297353CC}">
              <c16:uniqueId val="{00000003-0C4E-48C8-9573-46F244CF9A2C}"/>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'Kyllinge-Virkningsgrad regneark'!$C$5</c:f>
              <c:numCache>
                <c:formatCode>0.0</c:formatCode>
                <c:ptCount val="1"/>
                <c:pt idx="0">
                  <c:v>0</c:v>
                </c:pt>
              </c:numCache>
            </c:numRef>
          </c:xVal>
          <c:yVal>
            <c:numRef>
              <c:f>'Kyllinge-Virkningsgrad regneark'!$E$8</c:f>
              <c:numCache>
                <c:formatCode>0.0</c:formatCode>
                <c:ptCount val="1"/>
              </c:numCache>
            </c:numRef>
          </c:yVal>
          <c:smooth val="0"/>
          <c:extLst>
            <c:ext xmlns:c16="http://schemas.microsoft.com/office/drawing/2014/chart" uri="{C3380CC4-5D6E-409C-BE32-E72D297353CC}">
              <c16:uniqueId val="{00000004-0C4E-48C8-9573-46F244CF9A2C}"/>
            </c:ext>
          </c:extLst>
        </c:ser>
        <c:ser>
          <c:idx val="5"/>
          <c:order val="5"/>
          <c:tx>
            <c:strRef>
              <c:f>'Kyllinge-Virkningsgrad regneark'!$B$25</c:f>
              <c:strCache>
                <c:ptCount val="1"/>
              </c:strCache>
            </c:strRef>
          </c:tx>
          <c:spPr>
            <a:ln w="25400" cap="rnd">
              <a:noFill/>
              <a:round/>
            </a:ln>
            <a:effectLst/>
          </c:spPr>
          <c:marker>
            <c:symbol val="none"/>
          </c:marker>
          <c:xVal>
            <c:numRef>
              <c:f>'Kyllinge-Virkningsgrad regneark'!$B$26:$B$29</c:f>
              <c:numCache>
                <c:formatCode>0.0</c:formatCode>
                <c:ptCount val="4"/>
              </c:numCache>
            </c:numRef>
          </c:xVal>
          <c:yVal>
            <c:numRef>
              <c:f>'Kyllinge-Virkningsgrad regneark'!$C$26:$C$29</c:f>
              <c:numCache>
                <c:formatCode>0.0</c:formatCode>
                <c:ptCount val="4"/>
              </c:numCache>
            </c:numRef>
          </c:yVal>
          <c:smooth val="0"/>
          <c:extLst>
            <c:ext xmlns:c16="http://schemas.microsoft.com/office/drawing/2014/chart" uri="{C3380CC4-5D6E-409C-BE32-E72D297353CC}">
              <c16:uniqueId val="{00000005-0C4E-48C8-9573-46F244CF9A2C}"/>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regneark'!$M$14:$M$16</c:f>
              <c:numCache>
                <c:formatCode>0.0</c:formatCode>
                <c:ptCount val="3"/>
                <c:pt idx="0">
                  <c:v>1</c:v>
                </c:pt>
                <c:pt idx="1">
                  <c:v>10</c:v>
                </c:pt>
                <c:pt idx="2">
                  <c:v>30</c:v>
                </c:pt>
              </c:numCache>
            </c:numRef>
          </c:xVal>
          <c:yVal>
            <c:numRef>
              <c:f>'Kyllinge-Virkningsgrad regneark'!$N$14:$N$16</c:f>
              <c:numCache>
                <c:formatCode>0.0</c:formatCode>
                <c:ptCount val="3"/>
                <c:pt idx="0">
                  <c:v>0.99</c:v>
                </c:pt>
                <c:pt idx="1">
                  <c:v>0.85</c:v>
                </c:pt>
                <c:pt idx="2">
                  <c:v>0.78</c:v>
                </c:pt>
              </c:numCache>
            </c:numRef>
          </c:yVal>
          <c:smooth val="0"/>
          <c:extLst>
            <c:ext xmlns:c16="http://schemas.microsoft.com/office/drawing/2014/chart" uri="{C3380CC4-5D6E-409C-BE32-E72D297353CC}">
              <c16:uniqueId val="{00000000-FD52-4DD9-B6EB-73F294D7FD3B}"/>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regneark'!$M$23:$M$25</c:f>
              <c:numCache>
                <c:formatCode>0.0</c:formatCode>
                <c:ptCount val="3"/>
                <c:pt idx="0">
                  <c:v>1</c:v>
                </c:pt>
                <c:pt idx="1">
                  <c:v>10</c:v>
                </c:pt>
                <c:pt idx="2">
                  <c:v>30</c:v>
                </c:pt>
              </c:numCache>
            </c:numRef>
          </c:xVal>
          <c:yVal>
            <c:numRef>
              <c:f>'Kyllinge-Virkningsgrad regneark'!$N$23:$N$25</c:f>
              <c:numCache>
                <c:formatCode>0.0</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1B74-4E59-A60D-C6B5A5BB4DA9}"/>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regneark'!$M$32:$M$34</c:f>
              <c:numCache>
                <c:formatCode>0.0</c:formatCode>
                <c:ptCount val="3"/>
                <c:pt idx="0">
                  <c:v>1</c:v>
                </c:pt>
                <c:pt idx="1">
                  <c:v>10</c:v>
                </c:pt>
                <c:pt idx="2">
                  <c:v>30</c:v>
                </c:pt>
              </c:numCache>
            </c:numRef>
          </c:xVal>
          <c:yVal>
            <c:numRef>
              <c:f>'Kyllinge-Virkningsgrad regneark'!$N$32:$N$34</c:f>
              <c:numCache>
                <c:formatCode>0.0</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487D-49BE-B2F0-AC4A5AE2F4CD}"/>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regneark'!$M$41:$M$43</c:f>
              <c:numCache>
                <c:formatCode>0.0</c:formatCode>
                <c:ptCount val="3"/>
                <c:pt idx="0">
                  <c:v>1</c:v>
                </c:pt>
                <c:pt idx="1">
                  <c:v>10</c:v>
                </c:pt>
                <c:pt idx="2">
                  <c:v>30</c:v>
                </c:pt>
              </c:numCache>
            </c:numRef>
          </c:xVal>
          <c:yVal>
            <c:numRef>
              <c:f>'Kyllinge-Virkningsgrad regneark'!$N$41:$N$43</c:f>
              <c:numCache>
                <c:formatCode>0.0</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1C72-468B-B8F8-466C86DDB2B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regneark'!$M$50:$M$52</c:f>
              <c:numCache>
                <c:formatCode>0.0</c:formatCode>
                <c:ptCount val="3"/>
                <c:pt idx="0">
                  <c:v>1</c:v>
                </c:pt>
                <c:pt idx="1">
                  <c:v>10</c:v>
                </c:pt>
                <c:pt idx="2">
                  <c:v>30</c:v>
                </c:pt>
              </c:numCache>
            </c:numRef>
          </c:xVal>
          <c:yVal>
            <c:numRef>
              <c:f>'Kyllinge-Virkningsgrad regneark'!$N$50:$N$52</c:f>
              <c:numCache>
                <c:formatCode>0.0</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86DE-4E9F-A19D-9CB374DB190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9050" cap="rnd">
              <a:noFill/>
              <a:round/>
            </a:ln>
            <a:effectLst/>
          </c:spPr>
          <c:marker>
            <c:symbol val="circle"/>
            <c:size val="5"/>
            <c:spPr>
              <a:solidFill>
                <a:schemeClr val="accent1"/>
              </a:solidFill>
              <a:ln w="9525">
                <a:solidFill>
                  <a:schemeClr val="accent1"/>
                </a:solidFill>
              </a:ln>
              <a:effectLst/>
            </c:spPr>
          </c:marker>
          <c:cat>
            <c:strRef>
              <c:f>'Grise-Virkningsgrad regneark'!$M$4:$M$8</c:f>
              <c:strCache>
                <c:ptCount val="5"/>
                <c:pt idx="0">
                  <c:v>Træpiller</c:v>
                </c:pt>
                <c:pt idx="1">
                  <c:v>Brænde</c:v>
                </c:pt>
                <c:pt idx="2">
                  <c:v>Flis</c:v>
                </c:pt>
                <c:pt idx="3">
                  <c:v>Halm</c:v>
                </c:pt>
                <c:pt idx="4">
                  <c:v>Olie</c:v>
                </c:pt>
              </c:strCache>
            </c:strRef>
          </c:cat>
          <c:val>
            <c:numRef>
              <c:f>'Grise-Virkningsgrad regneark'!$N$4:$N$8</c:f>
              <c:numCache>
                <c:formatCode>;;\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902-4124-98EE-C09F960881C9}"/>
            </c:ext>
          </c:extLst>
        </c:ser>
        <c:dLbls>
          <c:showLegendKey val="0"/>
          <c:showVal val="0"/>
          <c:showCatName val="0"/>
          <c:showSerName val="0"/>
          <c:showPercent val="0"/>
          <c:showBubbleSize val="0"/>
        </c:dLbls>
        <c:marker val="1"/>
        <c:smooth val="0"/>
        <c:axId val="432885856"/>
        <c:axId val="432886840"/>
      </c:lineChart>
      <c:catAx>
        <c:axId val="43288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6840"/>
        <c:crosses val="autoZero"/>
        <c:auto val="1"/>
        <c:lblAlgn val="ctr"/>
        <c:lblOffset val="100"/>
        <c:noMultiLvlLbl val="0"/>
      </c:catAx>
      <c:valAx>
        <c:axId val="432886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8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'Grise-Virkningsgrad regneark'!$G$12</c:f>
              <c:strCache>
                <c:ptCount val="1"/>
                <c:pt idx="0">
                  <c:v>Træpiller</c:v>
                </c:pt>
              </c:strCache>
            </c:strRef>
          </c:tx>
          <c:spPr>
            <a:ln w="25400" cap="rnd">
              <a:noFill/>
              <a:round/>
            </a:ln>
            <a:effectLst/>
          </c:spPr>
          <c:marker>
            <c:symbol val="none"/>
          </c:marker>
          <c:trendline>
            <c:spPr>
              <a:ln w="19050" cap="rnd">
                <a:solidFill>
                  <a:schemeClr val="accent1"/>
                </a:solidFill>
                <a:prstDash val="sysDot"/>
              </a:ln>
              <a:effectLst/>
            </c:spPr>
            <c:trendlineType val="log"/>
            <c:dispRSqr val="0"/>
            <c:dispEq val="0"/>
          </c:trendline>
          <c:xVal>
            <c:numRef>
              <c:f>'Grise-Virkningsgrad regneark'!$F$13:$F$15</c:f>
              <c:numCache>
                <c:formatCode>;;\ ;</c:formatCode>
                <c:ptCount val="3"/>
                <c:pt idx="0">
                  <c:v>1</c:v>
                </c:pt>
                <c:pt idx="1">
                  <c:v>10</c:v>
                </c:pt>
                <c:pt idx="2">
                  <c:v>30</c:v>
                </c:pt>
              </c:numCache>
            </c:numRef>
          </c:xVal>
          <c:yVal>
            <c:numRef>
              <c:f>'Grise-Virkningsgrad regneark'!$G$13:$G$15</c:f>
              <c:numCache>
                <c:formatCode>;;\ ;</c:formatCode>
                <c:ptCount val="3"/>
                <c:pt idx="0">
                  <c:v>0</c:v>
                </c:pt>
                <c:pt idx="1">
                  <c:v>0</c:v>
                </c:pt>
                <c:pt idx="2">
                  <c:v>0</c:v>
                </c:pt>
              </c:numCache>
            </c:numRef>
          </c:yVal>
          <c:smooth val="0"/>
          <c:extLst>
            <c:ext xmlns:c16="http://schemas.microsoft.com/office/drawing/2014/chart" uri="{C3380CC4-5D6E-409C-BE32-E72D297353CC}">
              <c16:uniqueId val="{00000000-DAE1-4F6D-BB66-13A10EBA8D08}"/>
            </c:ext>
          </c:extLst>
        </c:ser>
        <c:ser>
          <c:idx val="1"/>
          <c:order val="1"/>
          <c:tx>
            <c:strRef>
              <c:f>'Grise-Virkningsgrad regneark'!$H$12</c:f>
              <c:strCache>
                <c:ptCount val="1"/>
                <c:pt idx="0">
                  <c:v>Brænde</c:v>
                </c:pt>
              </c:strCache>
            </c:strRef>
          </c:tx>
          <c:spPr>
            <a:ln w="25400" cap="rnd">
              <a:noFill/>
              <a:round/>
            </a:ln>
            <a:effectLst/>
          </c:spPr>
          <c:marker>
            <c:symbol val="none"/>
          </c:marker>
          <c:trendline>
            <c:spPr>
              <a:ln w="19050" cap="rnd">
                <a:solidFill>
                  <a:schemeClr val="accent2"/>
                </a:solidFill>
                <a:prstDash val="sysDot"/>
              </a:ln>
              <a:effectLst/>
            </c:spPr>
            <c:trendlineType val="log"/>
            <c:dispRSqr val="0"/>
            <c:dispEq val="0"/>
          </c:trendline>
          <c:xVal>
            <c:numRef>
              <c:f>'Grise-Virkningsgrad regneark'!$F$13:$F$15</c:f>
              <c:numCache>
                <c:formatCode>;;\ ;</c:formatCode>
                <c:ptCount val="3"/>
                <c:pt idx="0">
                  <c:v>1</c:v>
                </c:pt>
                <c:pt idx="1">
                  <c:v>10</c:v>
                </c:pt>
                <c:pt idx="2">
                  <c:v>30</c:v>
                </c:pt>
              </c:numCache>
            </c:numRef>
          </c:xVal>
          <c:yVal>
            <c:numRef>
              <c:f>'Grise-Virkningsgrad regneark'!$H$13:$H$15</c:f>
              <c:numCache>
                <c:formatCode>;;\ ;</c:formatCode>
                <c:ptCount val="3"/>
                <c:pt idx="0">
                  <c:v>0</c:v>
                </c:pt>
                <c:pt idx="1">
                  <c:v>0</c:v>
                </c:pt>
                <c:pt idx="2">
                  <c:v>0</c:v>
                </c:pt>
              </c:numCache>
            </c:numRef>
          </c:yVal>
          <c:smooth val="0"/>
          <c:extLst>
            <c:ext xmlns:c16="http://schemas.microsoft.com/office/drawing/2014/chart" uri="{C3380CC4-5D6E-409C-BE32-E72D297353CC}">
              <c16:uniqueId val="{00000001-DAE1-4F6D-BB66-13A10EBA8D08}"/>
            </c:ext>
          </c:extLst>
        </c:ser>
        <c:ser>
          <c:idx val="2"/>
          <c:order val="2"/>
          <c:tx>
            <c:strRef>
              <c:f>'Grise-Virkningsgrad regneark'!$I$12</c:f>
              <c:strCache>
                <c:ptCount val="1"/>
                <c:pt idx="0">
                  <c:v>Flis</c:v>
                </c:pt>
              </c:strCache>
            </c:strRef>
          </c:tx>
          <c:spPr>
            <a:ln w="25400" cap="rnd">
              <a:noFill/>
              <a:round/>
            </a:ln>
            <a:effectLst/>
          </c:spPr>
          <c:marker>
            <c:symbol val="none"/>
          </c:marker>
          <c:trendline>
            <c:spPr>
              <a:ln w="19050" cap="rnd">
                <a:solidFill>
                  <a:schemeClr val="accent3"/>
                </a:solidFill>
                <a:prstDash val="sysDot"/>
              </a:ln>
              <a:effectLst/>
            </c:spPr>
            <c:trendlineType val="log"/>
            <c:dispRSqr val="0"/>
            <c:dispEq val="0"/>
          </c:trendline>
          <c:xVal>
            <c:numRef>
              <c:f>'Grise-Virkningsgrad regneark'!$F$13:$F$15</c:f>
              <c:numCache>
                <c:formatCode>;;\ ;</c:formatCode>
                <c:ptCount val="3"/>
                <c:pt idx="0">
                  <c:v>1</c:v>
                </c:pt>
                <c:pt idx="1">
                  <c:v>10</c:v>
                </c:pt>
                <c:pt idx="2">
                  <c:v>30</c:v>
                </c:pt>
              </c:numCache>
            </c:numRef>
          </c:xVal>
          <c:yVal>
            <c:numRef>
              <c:f>'Grise-Virkningsgrad regneark'!$I$13:$I$15</c:f>
              <c:numCache>
                <c:formatCode>;;\ ;</c:formatCode>
                <c:ptCount val="3"/>
                <c:pt idx="0">
                  <c:v>0</c:v>
                </c:pt>
                <c:pt idx="1">
                  <c:v>0</c:v>
                </c:pt>
                <c:pt idx="2">
                  <c:v>0</c:v>
                </c:pt>
              </c:numCache>
            </c:numRef>
          </c:yVal>
          <c:smooth val="0"/>
          <c:extLst>
            <c:ext xmlns:c16="http://schemas.microsoft.com/office/drawing/2014/chart" uri="{C3380CC4-5D6E-409C-BE32-E72D297353CC}">
              <c16:uniqueId val="{00000002-DAE1-4F6D-BB66-13A10EBA8D08}"/>
            </c:ext>
          </c:extLst>
        </c:ser>
        <c:ser>
          <c:idx val="3"/>
          <c:order val="3"/>
          <c:tx>
            <c:strRef>
              <c:f>'Grise-Virkningsgrad regneark'!$J$12</c:f>
              <c:strCache>
                <c:ptCount val="1"/>
                <c:pt idx="0">
                  <c:v>Halm</c:v>
                </c:pt>
              </c:strCache>
            </c:strRef>
          </c:tx>
          <c:spPr>
            <a:ln w="25400" cap="rnd">
              <a:noFill/>
              <a:round/>
            </a:ln>
            <a:effectLst/>
          </c:spPr>
          <c:marker>
            <c:symbol val="none"/>
          </c:marker>
          <c:trendline>
            <c:spPr>
              <a:ln w="19050" cap="rnd">
                <a:solidFill>
                  <a:schemeClr val="accent4"/>
                </a:solidFill>
                <a:prstDash val="sysDot"/>
              </a:ln>
              <a:effectLst/>
            </c:spPr>
            <c:trendlineType val="log"/>
            <c:dispRSqr val="0"/>
            <c:dispEq val="1"/>
            <c:trendlineLbl>
              <c:layout>
                <c:manualLayout>
                  <c:x val="9.8348881543901104E-2"/>
                  <c:y val="-0.35214579020065667"/>
                </c:manualLayout>
              </c:layout>
              <c:numFmt formatCode="General" sourceLinked="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trendlineLbl>
          </c:trendline>
          <c:xVal>
            <c:numRef>
              <c:f>'Grise-Virkningsgrad regneark'!$F$13:$F$15</c:f>
              <c:numCache>
                <c:formatCode>;;\ ;</c:formatCode>
                <c:ptCount val="3"/>
                <c:pt idx="0">
                  <c:v>1</c:v>
                </c:pt>
                <c:pt idx="1">
                  <c:v>10</c:v>
                </c:pt>
                <c:pt idx="2">
                  <c:v>30</c:v>
                </c:pt>
              </c:numCache>
            </c:numRef>
          </c:xVal>
          <c:yVal>
            <c:numRef>
              <c:f>'Grise-Virkningsgrad regneark'!$J$13:$J$15</c:f>
              <c:numCache>
                <c:formatCode>;;\ ;</c:formatCode>
                <c:ptCount val="3"/>
                <c:pt idx="0">
                  <c:v>0</c:v>
                </c:pt>
                <c:pt idx="1">
                  <c:v>0</c:v>
                </c:pt>
                <c:pt idx="2">
                  <c:v>0</c:v>
                </c:pt>
              </c:numCache>
            </c:numRef>
          </c:yVal>
          <c:smooth val="0"/>
          <c:extLst>
            <c:ext xmlns:c16="http://schemas.microsoft.com/office/drawing/2014/chart" uri="{C3380CC4-5D6E-409C-BE32-E72D297353CC}">
              <c16:uniqueId val="{00000003-DAE1-4F6D-BB66-13A10EBA8D08}"/>
            </c:ext>
          </c:extLst>
        </c:ser>
        <c:ser>
          <c:idx val="4"/>
          <c:order val="4"/>
          <c:tx>
            <c:v>ssfsdf</c:v>
          </c:tx>
          <c:spPr>
            <a:ln w="25400" cap="rnd">
              <a:noFill/>
              <a:round/>
            </a:ln>
            <a:effectLst/>
          </c:spPr>
          <c:marker>
            <c:symbol val="circle"/>
            <c:size val="5"/>
            <c:spPr>
              <a:solidFill>
                <a:schemeClr val="accent5"/>
              </a:solidFill>
              <a:ln w="9525">
                <a:solidFill>
                  <a:schemeClr val="accent5"/>
                </a:solidFill>
              </a:ln>
              <a:effectLst/>
            </c:spPr>
          </c:marker>
          <c:xVal>
            <c:numRef>
              <c:f>'Grise-Virkningsgrad regneark'!$C$5</c:f>
              <c:numCache>
                <c:formatCode>;;\ ;</c:formatCode>
                <c:ptCount val="1"/>
                <c:pt idx="0">
                  <c:v>0</c:v>
                </c:pt>
              </c:numCache>
            </c:numRef>
          </c:xVal>
          <c:yVal>
            <c:numRef>
              <c:f>'Grise-Virkningsgrad regneark'!$E$8</c:f>
              <c:numCache>
                <c:formatCode>;;\ ;</c:formatCode>
                <c:ptCount val="1"/>
              </c:numCache>
            </c:numRef>
          </c:yVal>
          <c:smooth val="0"/>
          <c:extLst>
            <c:ext xmlns:c16="http://schemas.microsoft.com/office/drawing/2014/chart" uri="{C3380CC4-5D6E-409C-BE32-E72D297353CC}">
              <c16:uniqueId val="{00000004-DAE1-4F6D-BB66-13A10EBA8D08}"/>
            </c:ext>
          </c:extLst>
        </c:ser>
        <c:ser>
          <c:idx val="5"/>
          <c:order val="5"/>
          <c:tx>
            <c:strRef>
              <c:f>'Grise-Virkningsgrad regneark'!$B$25</c:f>
              <c:strCache>
                <c:ptCount val="1"/>
              </c:strCache>
            </c:strRef>
          </c:tx>
          <c:spPr>
            <a:ln w="25400" cap="rnd">
              <a:noFill/>
              <a:round/>
            </a:ln>
            <a:effectLst/>
          </c:spPr>
          <c:marker>
            <c:symbol val="none"/>
          </c:marker>
          <c:xVal>
            <c:numRef>
              <c:f>'Grise-Virkningsgrad regneark'!$B$26:$B$29</c:f>
              <c:numCache>
                <c:formatCode>;;\ ;</c:formatCode>
                <c:ptCount val="4"/>
              </c:numCache>
            </c:numRef>
          </c:xVal>
          <c:yVal>
            <c:numRef>
              <c:f>'Grise-Virkningsgrad regneark'!$C$26:$C$29</c:f>
              <c:numCache>
                <c:formatCode>;;\ ;</c:formatCode>
                <c:ptCount val="4"/>
              </c:numCache>
            </c:numRef>
          </c:yVal>
          <c:smooth val="0"/>
          <c:extLst>
            <c:ext xmlns:c16="http://schemas.microsoft.com/office/drawing/2014/chart" uri="{C3380CC4-5D6E-409C-BE32-E72D297353CC}">
              <c16:uniqueId val="{00000005-DAE1-4F6D-BB66-13A10EBA8D08}"/>
            </c:ext>
          </c:extLst>
        </c:ser>
        <c:dLbls>
          <c:showLegendKey val="0"/>
          <c:showVal val="0"/>
          <c:showCatName val="0"/>
          <c:showSerName val="0"/>
          <c:showPercent val="0"/>
          <c:showBubbleSize val="0"/>
        </c:dLbls>
        <c:axId val="327091104"/>
        <c:axId val="474292800"/>
      </c:scatterChart>
      <c:valAx>
        <c:axId val="327091104"/>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474292800"/>
        <c:crosses val="autoZero"/>
        <c:crossBetween val="midCat"/>
      </c:valAx>
      <c:valAx>
        <c:axId val="474292800"/>
        <c:scaling>
          <c:orientation val="minMax"/>
          <c:max val="0.85000000000000009"/>
          <c:min val="0.5"/>
        </c:scaling>
        <c:delete val="0"/>
        <c:axPos val="l"/>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crossAx val="327091104"/>
        <c:crosses val="autoZero"/>
        <c:crossBetween val="midCat"/>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i="0">
          <a:latin typeface="Verdana" panose="020B0604030504040204" pitchFamily="34" charset="0"/>
          <a:ea typeface="Verdana" panose="020B0604030504040204" pitchFamily="34" charset="0"/>
          <a:cs typeface="Verdana" panose="020B0604030504040204" pitchFamily="34" charset="0"/>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3318389681608993E-2"/>
                  <c:y val="-0.15191010498687665"/>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regneark'!$M$14:$M$16</c:f>
              <c:numCache>
                <c:formatCode>;;\ ;</c:formatCode>
                <c:ptCount val="3"/>
                <c:pt idx="0">
                  <c:v>1</c:v>
                </c:pt>
                <c:pt idx="1">
                  <c:v>10</c:v>
                </c:pt>
                <c:pt idx="2">
                  <c:v>30</c:v>
                </c:pt>
              </c:numCache>
            </c:numRef>
          </c:xVal>
          <c:yVal>
            <c:numRef>
              <c:f>'Grise-Virkningsgrad regneark'!$N$14:$N$16</c:f>
              <c:numCache>
                <c:formatCode>;;\ ;</c:formatCode>
                <c:ptCount val="3"/>
                <c:pt idx="0">
                  <c:v>0.99</c:v>
                </c:pt>
                <c:pt idx="1">
                  <c:v>0.85</c:v>
                </c:pt>
                <c:pt idx="2">
                  <c:v>0.78</c:v>
                </c:pt>
              </c:numCache>
            </c:numRef>
          </c:yVal>
          <c:smooth val="0"/>
          <c:extLst>
            <c:ext xmlns:c16="http://schemas.microsoft.com/office/drawing/2014/chart" uri="{C3380CC4-5D6E-409C-BE32-E72D297353CC}">
              <c16:uniqueId val="{00000000-8A6B-4037-A7CE-BD94AB67F9C2}"/>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8315354330708661"/>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regneark'!$M$23:$M$25</c:f>
              <c:numCache>
                <c:formatCode>;;\ ;</c:formatCode>
                <c:ptCount val="3"/>
                <c:pt idx="0">
                  <c:v>1</c:v>
                </c:pt>
                <c:pt idx="1">
                  <c:v>10</c:v>
                </c:pt>
                <c:pt idx="2">
                  <c:v>30</c:v>
                </c:pt>
              </c:numCache>
            </c:numRef>
          </c:xVal>
          <c:yVal>
            <c:numRef>
              <c:f>'Grise-Virkningsgrad regneark'!$N$23:$N$25</c:f>
              <c:numCache>
                <c:formatCode>;;\ ;</c:formatCode>
                <c:ptCount val="3"/>
                <c:pt idx="0">
                  <c:v>0.98504999999999998</c:v>
                </c:pt>
                <c:pt idx="1">
                  <c:v>0.83129999999999993</c:v>
                </c:pt>
                <c:pt idx="2">
                  <c:v>0.75660000000000005</c:v>
                </c:pt>
              </c:numCache>
            </c:numRef>
          </c:yVal>
          <c:smooth val="0"/>
          <c:extLst>
            <c:ext xmlns:c16="http://schemas.microsoft.com/office/drawing/2014/chart" uri="{C3380CC4-5D6E-409C-BE32-E72D297353CC}">
              <c16:uniqueId val="{00000000-697A-4D0E-91CE-8950D8514D8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0171345206287175"/>
                  <c:y val="-0.1757034120734908"/>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regneark'!$M$32:$M$34</c:f>
              <c:numCache>
                <c:formatCode>;;\ ;</c:formatCode>
                <c:ptCount val="3"/>
                <c:pt idx="0">
                  <c:v>1</c:v>
                </c:pt>
                <c:pt idx="1">
                  <c:v>10</c:v>
                </c:pt>
                <c:pt idx="2">
                  <c:v>30</c:v>
                </c:pt>
              </c:numCache>
            </c:numRef>
          </c:xVal>
          <c:yVal>
            <c:numRef>
              <c:f>'Grise-Virkningsgrad regneark'!$N$32:$N$34</c:f>
              <c:numCache>
                <c:formatCode>;;\ ;</c:formatCode>
                <c:ptCount val="3"/>
                <c:pt idx="0">
                  <c:v>0.96534900000000001</c:v>
                </c:pt>
                <c:pt idx="1">
                  <c:v>0.8146739999999999</c:v>
                </c:pt>
                <c:pt idx="2">
                  <c:v>0.74146800000000002</c:v>
                </c:pt>
              </c:numCache>
            </c:numRef>
          </c:yVal>
          <c:smooth val="0"/>
          <c:extLst>
            <c:ext xmlns:c16="http://schemas.microsoft.com/office/drawing/2014/chart" uri="{C3380CC4-5D6E-409C-BE32-E72D297353CC}">
              <c16:uniqueId val="{00000000-EA58-44EC-97BF-992B2917796C}"/>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regneark'!$M$41:$M$43</c:f>
              <c:numCache>
                <c:formatCode>;;\ ;</c:formatCode>
                <c:ptCount val="3"/>
                <c:pt idx="0">
                  <c:v>1</c:v>
                </c:pt>
                <c:pt idx="1">
                  <c:v>10</c:v>
                </c:pt>
                <c:pt idx="2">
                  <c:v>30</c:v>
                </c:pt>
              </c:numCache>
            </c:numRef>
          </c:xVal>
          <c:yVal>
            <c:numRef>
              <c:f>'Grise-Virkningsgrad regneark'!$N$41:$N$43</c:f>
              <c:numCache>
                <c:formatCode>;;\ ;</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6FE8-4D7A-B3ED-33C601EB390A}"/>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9.7515920872240369E-2"/>
                  <c:y val="-0.15175721784776902"/>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'Grise-Virkningsgrad regneark'!$M$50:$M$52</c:f>
              <c:numCache>
                <c:formatCode>;;\ ;</c:formatCode>
                <c:ptCount val="3"/>
                <c:pt idx="0">
                  <c:v>1</c:v>
                </c:pt>
                <c:pt idx="1">
                  <c:v>10</c:v>
                </c:pt>
                <c:pt idx="2">
                  <c:v>30</c:v>
                </c:pt>
              </c:numCache>
            </c:numRef>
          </c:xVal>
          <c:yVal>
            <c:numRef>
              <c:f>'Grise-Virkningsgrad regneark'!$N$50:$N$52</c:f>
              <c:numCache>
                <c:formatCode>;;\ ;</c:formatCode>
                <c:ptCount val="3"/>
                <c:pt idx="0">
                  <c:v>0.92643952499999993</c:v>
                </c:pt>
                <c:pt idx="1">
                  <c:v>0.75649999999999995</c:v>
                </c:pt>
                <c:pt idx="2">
                  <c:v>0.67313999999999996</c:v>
                </c:pt>
              </c:numCache>
            </c:numRef>
          </c:yVal>
          <c:smooth val="0"/>
          <c:extLst>
            <c:ext xmlns:c16="http://schemas.microsoft.com/office/drawing/2014/chart" uri="{C3380CC4-5D6E-409C-BE32-E72D297353CC}">
              <c16:uniqueId val="{00000000-B229-4273-AA05-7B2EDB804DB0}"/>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2.3846557641833233E-2"/>
                  <c:y val="0.34567901234567899"/>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trendlineLbl>
          </c:trendline>
          <c:xVal>
            <c:numRef>
              <c:f>'Kyllinge-Virkningsgrad regneark'!$V$4:$V$6</c:f>
              <c:numCache>
                <c:formatCode>0.0</c:formatCode>
                <c:ptCount val="3"/>
                <c:pt idx="0">
                  <c:v>1000</c:v>
                </c:pt>
                <c:pt idx="1">
                  <c:v>100</c:v>
                </c:pt>
                <c:pt idx="2">
                  <c:v>10</c:v>
                </c:pt>
              </c:numCache>
            </c:numRef>
          </c:xVal>
          <c:yVal>
            <c:numRef>
              <c:f>'Kyllinge-Virkningsgrad regneark'!$W$4:$W$6</c:f>
              <c:numCache>
                <c:formatCode>0.0</c:formatCode>
                <c:ptCount val="3"/>
                <c:pt idx="0">
                  <c:v>0.96</c:v>
                </c:pt>
                <c:pt idx="1">
                  <c:v>0.95</c:v>
                </c:pt>
                <c:pt idx="2">
                  <c:v>0.94</c:v>
                </c:pt>
              </c:numCache>
            </c:numRef>
          </c:yVal>
          <c:smooth val="0"/>
          <c:extLst>
            <c:ext xmlns:c16="http://schemas.microsoft.com/office/drawing/2014/chart" uri="{C3380CC4-5D6E-409C-BE32-E72D297353CC}">
              <c16:uniqueId val="{00000000-3D9E-421B-B58E-E2EF8F0A1EFC}"/>
            </c:ext>
          </c:extLst>
        </c:ser>
        <c:dLbls>
          <c:showLegendKey val="0"/>
          <c:showVal val="0"/>
          <c:showCatName val="0"/>
          <c:showSerName val="0"/>
          <c:showPercent val="0"/>
          <c:showBubbleSize val="0"/>
        </c:dLbls>
        <c:axId val="432892416"/>
        <c:axId val="432891432"/>
      </c:scatterChart>
      <c:valAx>
        <c:axId val="4328924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1432"/>
        <c:crosses val="autoZero"/>
        <c:crossBetween val="midCat"/>
      </c:valAx>
      <c:valAx>
        <c:axId val="432891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432892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14</xdr:col>
      <xdr:colOff>649</xdr:colOff>
      <xdr:row>0</xdr:row>
      <xdr:rowOff>80010</xdr:rowOff>
    </xdr:from>
    <xdr:to>
      <xdr:col>15</xdr:col>
      <xdr:colOff>629240</xdr:colOff>
      <xdr:row>3</xdr:row>
      <xdr:rowOff>26606</xdr:rowOff>
    </xdr:to>
    <xdr:pic>
      <xdr:nvPicPr>
        <xdr:cNvPr id="2" name="Picture 1" descr="Energistyrelsen søger en Kontorchef til energiadministrativt kraftcenter i  Esbjerg - Altinget - Alt om politi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649" y="80010"/>
          <a:ext cx="1133416" cy="565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526224</xdr:colOff>
      <xdr:row>14</xdr:row>
      <xdr:rowOff>114300</xdr:rowOff>
    </xdr:from>
    <xdr:to>
      <xdr:col>8</xdr:col>
      <xdr:colOff>892231</xdr:colOff>
      <xdr:row>18</xdr:row>
      <xdr:rowOff>139976</xdr:rowOff>
    </xdr:to>
    <xdr:pic>
      <xdr:nvPicPr>
        <xdr:cNvPr id="3"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1499" y="2286000"/>
          <a:ext cx="718432" cy="701951"/>
        </a:xfrm>
        <a:prstGeom prst="rect">
          <a:avLst/>
        </a:prstGeom>
      </xdr:spPr>
    </xdr:pic>
    <xdr:clientData/>
  </xdr:twoCellAnchor>
  <xdr:twoCellAnchor editAs="oneCell">
    <xdr:from>
      <xdr:col>3</xdr:col>
      <xdr:colOff>797753</xdr:colOff>
      <xdr:row>14</xdr:row>
      <xdr:rowOff>114301</xdr:rowOff>
    </xdr:from>
    <xdr:to>
      <xdr:col>4</xdr:col>
      <xdr:colOff>818484</xdr:colOff>
      <xdr:row>18</xdr:row>
      <xdr:rowOff>139978</xdr:rowOff>
    </xdr:to>
    <xdr:pic>
      <xdr:nvPicPr>
        <xdr:cNvPr id="4"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12178" y="2286001"/>
          <a:ext cx="735106" cy="701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20651</xdr:colOff>
      <xdr:row>1</xdr:row>
      <xdr:rowOff>129540</xdr:rowOff>
    </xdr:from>
    <xdr:to>
      <xdr:col>14</xdr:col>
      <xdr:colOff>418420</xdr:colOff>
      <xdr:row>4</xdr:row>
      <xdr:rowOff>21844</xdr:rowOff>
    </xdr:to>
    <xdr:pic>
      <xdr:nvPicPr>
        <xdr:cNvPr id="2" name="Picture 2" descr="Energistyrelsen søger en Kontorchef til energiadministrativt kraftcenter i  Esbjerg - Altinget - Alt om politik">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0726" y="281940"/>
          <a:ext cx="1235969" cy="55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91809</xdr:colOff>
      <xdr:row>23</xdr:row>
      <xdr:rowOff>98795</xdr:rowOff>
    </xdr:from>
    <xdr:to>
      <xdr:col>19</xdr:col>
      <xdr:colOff>7619</xdr:colOff>
      <xdr:row>44</xdr:row>
      <xdr:rowOff>105833</xdr:rowOff>
    </xdr:to>
    <xdr:sp macro="" textlink="">
      <xdr:nvSpPr>
        <xdr:cNvPr id="3" name="TextBox 3">
          <a:extLst>
            <a:ext uri="{FF2B5EF4-FFF2-40B4-BE49-F238E27FC236}">
              <a16:creationId xmlns:a16="http://schemas.microsoft.com/office/drawing/2014/main" id="{00000000-0008-0000-0500-000004000000}"/>
            </a:ext>
          </a:extLst>
        </xdr:cNvPr>
        <xdr:cNvSpPr txBox="1"/>
      </xdr:nvSpPr>
      <xdr:spPr>
        <a:xfrm>
          <a:off x="6801642" y="4797795"/>
          <a:ext cx="5493227" cy="4928288"/>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a:effectLst/>
              <a:latin typeface="Verdana" panose="020B0604030504040204" pitchFamily="34" charset="0"/>
              <a:ea typeface="Verdana" panose="020B0604030504040204" pitchFamily="34" charset="0"/>
              <a:cs typeface="Times New Roman" panose="02020603050405020304" pitchFamily="18" charset="0"/>
            </a:rPr>
            <a:t>Dokumentationskrav</a:t>
          </a:r>
          <a:r>
            <a:rPr lang="da-DK" sz="900" b="1" baseline="0">
              <a:effectLst/>
              <a:latin typeface="Verdana" panose="020B0604030504040204" pitchFamily="34" charset="0"/>
              <a:ea typeface="Verdana" panose="020B0604030504040204" pitchFamily="34" charset="0"/>
              <a:cs typeface="Times New Roman" panose="02020603050405020304" pitchFamily="18" charset="0"/>
            </a:rPr>
            <a:t> ved fase 2</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Der skal foreligge dokumentation på besætningsstørrelsen ved enten at indsende en årsrapport der maksimal er 12 måneder fra ansøgningsdatoen eller et udklip fra CHR.dk. </a:t>
          </a:r>
        </a:p>
        <a:p>
          <a:pPr marL="342900" lvl="0" indent="-342900">
            <a:lnSpc>
              <a:spcPct val="107000"/>
            </a:lnSpc>
            <a:spcAft>
              <a:spcPts val="800"/>
            </a:spcAft>
            <a:buFont typeface="Symbol" panose="05050102010706020507" pitchFamily="18" charset="2"/>
            <a:buChar char=""/>
          </a:pPr>
          <a:r>
            <a:rPr lang="da-DK" sz="900">
              <a:latin typeface="Verdana" panose="020B0604030504040204" pitchFamily="34" charset="0"/>
              <a:ea typeface="Verdana" panose="020B0604030504040204" pitchFamily="34" charset="0"/>
            </a:rPr>
            <a:t>Der skal indsendes et billede af kedlen. Desuden skal effekt og alder på brændselskedlen også dokumenteres. Dette kunne eksempelvis være vha. et billede af mærkepladen eller en faktura på eksisterende brændselskedel.</a:t>
          </a:r>
        </a:p>
        <a:p>
          <a:pPr marL="342900" lvl="0" indent="-342900">
            <a:lnSpc>
              <a:spcPct val="107000"/>
            </a:lnSpc>
            <a:spcAft>
              <a:spcPts val="800"/>
            </a:spcAft>
            <a:buFont typeface="Symbol" panose="05050102010706020507" pitchFamily="18" charset="2"/>
            <a:buChar char=""/>
          </a:pPr>
          <a:r>
            <a:rPr lang="da-DK" sz="900">
              <a:effectLst/>
              <a:latin typeface="Verdana" panose="020B0604030504040204" pitchFamily="34" charset="0"/>
              <a:ea typeface="Verdana" panose="020B0604030504040204" pitchFamily="34" charset="0"/>
              <a:cs typeface="Times New Roman" panose="02020603050405020304" pitchFamily="18" charset="0"/>
            </a:rPr>
            <a:t>Hvis der i grisestalden udtørres med olievarmekanoner og de udskiftes i energisparetiltaget til varmepumper, skal de dokumenteres via billeder. </a:t>
          </a:r>
        </a:p>
        <a:p>
          <a:r>
            <a:rPr lang="da-DK" sz="900" b="1">
              <a:effectLst/>
              <a:latin typeface="Verdana" panose="020B0604030504040204" pitchFamily="34" charset="0"/>
              <a:ea typeface="Verdana" panose="020B0604030504040204" pitchFamily="34" charset="0"/>
            </a:rPr>
            <a:t>Dokumentationskrav</a:t>
          </a:r>
          <a:r>
            <a:rPr lang="da-DK" sz="900" b="1" baseline="0">
              <a:effectLst/>
              <a:latin typeface="Verdana" panose="020B0604030504040204" pitchFamily="34" charset="0"/>
              <a:ea typeface="Verdana" panose="020B0604030504040204" pitchFamily="34" charset="0"/>
            </a:rPr>
            <a:t> ved udbetaling</a:t>
          </a:r>
          <a:r>
            <a:rPr lang="da-DK" sz="900">
              <a:effectLst/>
              <a:latin typeface="Verdana" panose="020B0604030504040204" pitchFamily="34" charset="0"/>
              <a:ea typeface="Verdana" panose="020B0604030504040204" pitchFamily="34" charset="0"/>
            </a:rPr>
            <a:t>:</a:t>
          </a:r>
        </a:p>
        <a:p>
          <a:endParaRPr lang="da-DK" sz="900">
            <a:effectLst/>
            <a:latin typeface="Verdana" panose="020B0604030504040204" pitchFamily="34" charset="0"/>
            <a:ea typeface="Verdana" panose="020B0604030504040204" pitchFamily="34" charset="0"/>
          </a:endParaRPr>
        </a:p>
        <a:p>
          <a:pPr marL="342900" lvl="0" indent="-342900">
            <a:lnSpc>
              <a:spcPct val="107000"/>
            </a:lnSpc>
            <a:spcAft>
              <a:spcPts val="800"/>
            </a:spcAft>
            <a:buFont typeface="Symbol" panose="05050102010706020507" pitchFamily="18" charset="2"/>
            <a:buChar char=""/>
          </a:pPr>
          <a:r>
            <a:rPr lang="da-DK" sz="900">
              <a:latin typeface="Verdana" panose="020B0604030504040204" pitchFamily="34" charset="0"/>
              <a:ea typeface="Verdana" panose="020B0604030504040204" pitchFamily="34" charset="0"/>
            </a:rPr>
            <a:t>Ved ansøgning om udbetaling skal der indsendes dokumentation i form af et datablad for virkningsgrad for brændselskedlen /SCOP-værdi for varmepumpen. Der skal tages højde for og vedlægges dokumentation for eventuel ændring i frem- og returløbstemperaturen.</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til vejledningen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Vejledning til standardløsning for udskiftning af brændselskedler i stalde"</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a:solidFill>
                <a:schemeClr val="dk1"/>
              </a:solidFill>
              <a:effectLst/>
              <a:latin typeface="+mn-lt"/>
              <a:ea typeface="+mn-ea"/>
              <a:cs typeface="+mn-cs"/>
            </a:rPr>
            <a:t> </a:t>
          </a:r>
          <a:r>
            <a:rPr lang="da-DK" sz="1100">
              <a:solidFill>
                <a:schemeClr val="dk1"/>
              </a:solidFill>
              <a:effectLst/>
              <a:latin typeface="+mn-lt"/>
              <a:ea typeface="+mn-ea"/>
              <a:cs typeface="+mn-cs"/>
            </a:rPr>
            <a:t> </a:t>
          </a:r>
          <a:r>
            <a:rPr lang="da-DK" sz="1100" b="0" i="0">
              <a:solidFill>
                <a:schemeClr val="dk1"/>
              </a:solidFill>
              <a:effectLst/>
              <a:latin typeface="+mn-lt"/>
              <a:ea typeface="+mn-ea"/>
              <a:cs typeface="+mn-cs"/>
            </a:rPr>
            <a:t> </a:t>
          </a:r>
          <a:r>
            <a:rPr lang="da-DK"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da-DK"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a-DK" sz="9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da-DK" sz="900">
            <a:effectLst/>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r>
            <a:rPr lang="da-DK" sz="900">
              <a:solidFill>
                <a:schemeClr val="dk1"/>
              </a:solidFill>
              <a:effectLst/>
              <a:latin typeface="Verdana" panose="020B0604030504040204" pitchFamily="34" charset="0"/>
              <a:ea typeface="Verdana" panose="020B0604030504040204" pitchFamily="34" charset="0"/>
              <a:cs typeface="+mn-cs"/>
            </a:rPr>
            <a:t>Der gøres opmærksom på, at de generelle dokumentationskrav for ansøgningen skal være opfyldt. Dette gælder bl.a. tidsplan, budget og dokumentation for realisering. Disse findes i ”</a:t>
          </a:r>
          <a:r>
            <a:rPr lang="da-DK" sz="900" i="1">
              <a:solidFill>
                <a:schemeClr val="dk1"/>
              </a:solidFill>
              <a:effectLst/>
              <a:latin typeface="Verdana" panose="020B0604030504040204" pitchFamily="34" charset="0"/>
              <a:ea typeface="Verdana" panose="020B0604030504040204" pitchFamily="34" charset="0"/>
              <a:cs typeface="+mn-cs"/>
            </a:rPr>
            <a:t>Vejledning til ansøgning om Tilskud til energibesparelser og energieffektiviseringer i erhvervsvirksomheder”</a:t>
          </a:r>
        </a:p>
        <a:p>
          <a:endParaRPr lang="da-DK" sz="900" i="1">
            <a:solidFill>
              <a:schemeClr val="dk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900">
              <a:solidFill>
                <a:schemeClr val="dk1"/>
              </a:solidFill>
              <a:effectLst/>
              <a:latin typeface="Verdana" panose="020B0604030504040204" pitchFamily="34" charset="0"/>
              <a:ea typeface="Verdana" panose="020B0604030504040204" pitchFamily="34" charset="0"/>
              <a:cs typeface="+mn-cs"/>
            </a:rPr>
            <a:t>Såfremt standardløsningen bruges, </a:t>
          </a:r>
          <a:r>
            <a:rPr lang="da-DK" sz="900" u="sng">
              <a:solidFill>
                <a:schemeClr val="dk1"/>
              </a:solidFill>
              <a:effectLst/>
              <a:latin typeface="Verdana" panose="020B0604030504040204" pitchFamily="34" charset="0"/>
              <a:ea typeface="Verdana" panose="020B0604030504040204" pitchFamily="34" charset="0"/>
              <a:cs typeface="+mn-cs"/>
            </a:rPr>
            <a:t>skal</a:t>
          </a:r>
          <a:r>
            <a:rPr lang="da-DK" sz="900">
              <a:solidFill>
                <a:schemeClr val="dk1"/>
              </a:solidFill>
              <a:effectLst/>
              <a:latin typeface="Verdana" panose="020B0604030504040204" pitchFamily="34" charset="0"/>
              <a:ea typeface="Verdana" panose="020B0604030504040204" pitchFamily="34" charset="0"/>
              <a:cs typeface="+mn-cs"/>
            </a:rPr>
            <a:t> standardløsningen i Excel-format samt de pågældende dokumentationskrav vedhæftes i fase 2 ansøgningen. </a:t>
          </a:r>
        </a:p>
        <a:p>
          <a:endParaRPr lang="da-DK" sz="1100">
            <a:solidFill>
              <a:schemeClr val="dk1"/>
            </a:solidFill>
            <a:effectLst/>
            <a:latin typeface="+mn-lt"/>
            <a:ea typeface="+mn-ea"/>
            <a:cs typeface="+mn-cs"/>
          </a:endParaRPr>
        </a:p>
      </xdr:txBody>
    </xdr:sp>
    <xdr:clientData/>
  </xdr:twoCellAnchor>
  <xdr:twoCellAnchor editAs="oneCell">
    <xdr:from>
      <xdr:col>16</xdr:col>
      <xdr:colOff>301425</xdr:colOff>
      <xdr:row>0</xdr:row>
      <xdr:rowOff>0</xdr:rowOff>
    </xdr:from>
    <xdr:to>
      <xdr:col>18</xdr:col>
      <xdr:colOff>115947</xdr:colOff>
      <xdr:row>3</xdr:row>
      <xdr:rowOff>21844</xdr:rowOff>
    </xdr:to>
    <xdr:pic>
      <xdr:nvPicPr>
        <xdr:cNvPr id="4"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5019" y="0"/>
          <a:ext cx="1281373" cy="66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85725</xdr:colOff>
          <xdr:row>35</xdr:row>
          <xdr:rowOff>95250</xdr:rowOff>
        </xdr:from>
        <xdr:to>
          <xdr:col>15</xdr:col>
          <xdr:colOff>457200</xdr:colOff>
          <xdr:row>39</xdr:row>
          <xdr:rowOff>228600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24</xdr:col>
      <xdr:colOff>1</xdr:colOff>
      <xdr:row>1</xdr:row>
      <xdr:rowOff>0</xdr:rowOff>
    </xdr:from>
    <xdr:to>
      <xdr:col>29</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1</xdr:rowOff>
    </xdr:from>
    <xdr:to>
      <xdr:col>20</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840438</xdr:colOff>
      <xdr:row>17</xdr:row>
      <xdr:rowOff>558</xdr:rowOff>
    </xdr:from>
    <xdr:to>
      <xdr:col>9</xdr:col>
      <xdr:colOff>301997</xdr:colOff>
      <xdr:row>39</xdr:row>
      <xdr:rowOff>133909</xdr:rowOff>
    </xdr:to>
    <xdr:graphicFrame macro="">
      <xdr:nvGraphicFramePr>
        <xdr:cNvPr id="4" name="Diagram 3">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xdr:colOff>
      <xdr:row>11</xdr:row>
      <xdr:rowOff>0</xdr:rowOff>
    </xdr:from>
    <xdr:to>
      <xdr:col>20</xdr:col>
      <xdr:colOff>1</xdr:colOff>
      <xdr:row>19</xdr:row>
      <xdr:rowOff>0</xdr:rowOff>
    </xdr:to>
    <xdr:graphicFrame macro="">
      <xdr:nvGraphicFramePr>
        <xdr:cNvPr id="5" name="Diagram 4">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xdr:colOff>
      <xdr:row>20</xdr:row>
      <xdr:rowOff>0</xdr:rowOff>
    </xdr:from>
    <xdr:to>
      <xdr:col>20</xdr:col>
      <xdr:colOff>1</xdr:colOff>
      <xdr:row>28</xdr:row>
      <xdr:rowOff>0</xdr:rowOff>
    </xdr:to>
    <xdr:graphicFrame macro="">
      <xdr:nvGraphicFramePr>
        <xdr:cNvPr id="6" name="Diagram 5">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xdr:colOff>
      <xdr:row>29</xdr:row>
      <xdr:rowOff>0</xdr:rowOff>
    </xdr:from>
    <xdr:to>
      <xdr:col>20</xdr:col>
      <xdr:colOff>1</xdr:colOff>
      <xdr:row>37</xdr:row>
      <xdr:rowOff>0</xdr:rowOff>
    </xdr:to>
    <xdr:graphicFrame macro="">
      <xdr:nvGraphicFramePr>
        <xdr:cNvPr id="7" name="Diagram 6">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xdr:colOff>
      <xdr:row>38</xdr:row>
      <xdr:rowOff>0</xdr:rowOff>
    </xdr:from>
    <xdr:to>
      <xdr:col>20</xdr:col>
      <xdr:colOff>1</xdr:colOff>
      <xdr:row>46</xdr:row>
      <xdr:rowOff>0</xdr:rowOff>
    </xdr:to>
    <xdr:graphicFrame macro="">
      <xdr:nvGraphicFramePr>
        <xdr:cNvPr id="8" name="Diagram 7">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xdr:colOff>
      <xdr:row>47</xdr:row>
      <xdr:rowOff>0</xdr:rowOff>
    </xdr:from>
    <xdr:to>
      <xdr:col>20</xdr:col>
      <xdr:colOff>1</xdr:colOff>
      <xdr:row>55</xdr:row>
      <xdr:rowOff>0</xdr:rowOff>
    </xdr:to>
    <xdr:graphicFrame macro="">
      <xdr:nvGraphicFramePr>
        <xdr:cNvPr id="9"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389267</xdr:colOff>
      <xdr:row>0</xdr:row>
      <xdr:rowOff>21167</xdr:rowOff>
    </xdr:from>
    <xdr:to>
      <xdr:col>17</xdr:col>
      <xdr:colOff>9056</xdr:colOff>
      <xdr:row>3</xdr:row>
      <xdr:rowOff>119211</xdr:rowOff>
    </xdr:to>
    <xdr:pic>
      <xdr:nvPicPr>
        <xdr:cNvPr id="3" name="Picture 1" descr="Energistyrelsen søger en Kontorchef til energiadministrativt kraftcenter i  Esbjerg - Altinget - Alt om politi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67850" y="21167"/>
          <a:ext cx="1493039" cy="722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xdr:colOff>
      <xdr:row>22</xdr:row>
      <xdr:rowOff>222250</xdr:rowOff>
    </xdr:from>
    <xdr:to>
      <xdr:col>18</xdr:col>
      <xdr:colOff>31750</xdr:colOff>
      <xdr:row>48</xdr:row>
      <xdr:rowOff>5953</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280673" y="4562078"/>
          <a:ext cx="5496718" cy="5087938"/>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da-DK" sz="900" b="1" baseline="0">
              <a:effectLst/>
              <a:latin typeface="Verdana" panose="020B0604030504040204" pitchFamily="34" charset="0"/>
              <a:ea typeface="Verdana" panose="020B0604030504040204" pitchFamily="34" charset="0"/>
              <a:cs typeface="Times New Roman" panose="02020603050405020304" pitchFamily="18" charset="0"/>
            </a:rPr>
            <a:t>Dokumentationskrav ved fase 2 ansøgning </a:t>
          </a:r>
          <a:r>
            <a:rPr lang="da-DK" sz="900" b="1">
              <a:effectLst/>
              <a:latin typeface="Verdana" panose="020B0604030504040204" pitchFamily="34" charset="0"/>
              <a:ea typeface="Verdana" panose="020B0604030504040204" pitchFamily="34" charset="0"/>
              <a:cs typeface="Times New Roman" panose="02020603050405020304" pitchFamily="18" charset="0"/>
            </a:rPr>
            <a:t>:</a:t>
          </a:r>
          <a:endParaRPr lang="da-DK" sz="900">
            <a:effectLst/>
            <a:latin typeface="Verdana" panose="020B0604030504040204" pitchFamily="34" charset="0"/>
            <a:ea typeface="Verdana" panose="020B0604030504040204" pitchFamily="34" charset="0"/>
            <a:cs typeface="Times New Roman" panose="02020603050405020304" pitchFamily="18" charset="0"/>
          </a:endParaRP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Der skal foreligge dokumentation på besætningsstørrelsen ved enten at indsende en årsrapport der maksimal er 12 måneder gammel fra ansøgningsdatoen eller et udklip fra CHR.dk. </a:t>
          </a: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For projekter omhandlende stalde uden vekslere skal der foreligge billeddokumentation af staldende, hvor det fremgår tydeligt, at staldende ikke har installeret en veksler. </a:t>
          </a: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Desuden skal effekt og alder på brændselskedlen også dokumenteres. Dette kunne eksempelvis være vha. et billede af mærkepladen eller en faktura på eksisterende brændselskedel.</a:t>
          </a:r>
        </a:p>
        <a:p>
          <a:r>
            <a:rPr lang="da-DK" sz="1100" b="1">
              <a:solidFill>
                <a:schemeClr val="dk1"/>
              </a:solidFill>
              <a:effectLst/>
              <a:latin typeface="+mn-lt"/>
              <a:ea typeface="+mn-ea"/>
              <a:cs typeface="+mn-cs"/>
            </a:rPr>
            <a:t>Dokumentationskrav</a:t>
          </a:r>
          <a:r>
            <a:rPr lang="da-DK" sz="1100" b="1" baseline="0">
              <a:solidFill>
                <a:schemeClr val="dk1"/>
              </a:solidFill>
              <a:effectLst/>
              <a:latin typeface="+mn-lt"/>
              <a:ea typeface="+mn-ea"/>
              <a:cs typeface="+mn-cs"/>
            </a:rPr>
            <a:t> ved udbetaling</a:t>
          </a:r>
          <a:r>
            <a:rPr lang="da-DK" sz="1100">
              <a:solidFill>
                <a:schemeClr val="dk1"/>
              </a:solidFill>
              <a:effectLst/>
              <a:latin typeface="+mn-lt"/>
              <a:ea typeface="+mn-ea"/>
              <a:cs typeface="+mn-cs"/>
            </a:rPr>
            <a:t>:</a:t>
          </a:r>
        </a:p>
        <a:p>
          <a:endParaRPr lang="da-DK">
            <a:effectLst/>
          </a:endParaRPr>
        </a:p>
        <a:p>
          <a:pPr marL="342900" lvl="0" indent="-342900">
            <a:lnSpc>
              <a:spcPct val="107000"/>
            </a:lnSpc>
            <a:spcAft>
              <a:spcPts val="800"/>
            </a:spcAft>
            <a:buFont typeface="Symbol" panose="05050102010706020507" pitchFamily="18" charset="2"/>
            <a:buChar char=""/>
          </a:pPr>
          <a:r>
            <a:rPr lang="da-DK" sz="900">
              <a:solidFill>
                <a:schemeClr val="dk1"/>
              </a:solidFill>
              <a:effectLst/>
              <a:latin typeface="Verdana" panose="020B0604030504040204" pitchFamily="34" charset="0"/>
              <a:ea typeface="Verdana" panose="020B0604030504040204" pitchFamily="34" charset="0"/>
              <a:cs typeface="+mn-cs"/>
            </a:rPr>
            <a:t>Ved ansøgning om udbetaling skal der indsendes dokumentation i form af et datablad for virkningsgrad for brændselskedlen /SCOP-værdi for varmepumpen. Der skal tages højde for og vedlægges dokumentation for eventuel ændring i frem- og returløbstemperaturen.</a:t>
          </a:r>
          <a:endParaRPr lang="da-DK" sz="1100">
            <a:effectLst/>
          </a:endParaRPr>
        </a:p>
        <a:p>
          <a:r>
            <a:rPr lang="da-DK" sz="1100" b="1" i="0">
              <a:solidFill>
                <a:schemeClr val="dk1"/>
              </a:solidFill>
              <a:effectLst/>
              <a:latin typeface="+mn-lt"/>
              <a:ea typeface="+mn-ea"/>
              <a:cs typeface="+mn-cs"/>
            </a:rPr>
            <a:t>For yderligere</a:t>
          </a:r>
          <a:r>
            <a:rPr lang="da-DK" sz="1100" b="1" i="0" baseline="0">
              <a:solidFill>
                <a:schemeClr val="dk1"/>
              </a:solidFill>
              <a:effectLst/>
              <a:latin typeface="+mn-lt"/>
              <a:ea typeface="+mn-ea"/>
              <a:cs typeface="+mn-cs"/>
            </a:rPr>
            <a:t> vejledning henvises til vejledningen </a:t>
          </a:r>
          <a:r>
            <a:rPr lang="da-DK" sz="1100" b="1" i="1" baseline="0">
              <a:solidFill>
                <a:schemeClr val="dk1"/>
              </a:solidFill>
              <a:effectLst/>
              <a:latin typeface="+mn-lt"/>
              <a:ea typeface="+mn-ea"/>
              <a:cs typeface="+mn-cs"/>
            </a:rPr>
            <a:t>"</a:t>
          </a:r>
          <a:r>
            <a:rPr lang="da-DK" sz="1100" b="1" i="1">
              <a:solidFill>
                <a:schemeClr val="dk1"/>
              </a:solidFill>
              <a:effectLst/>
              <a:latin typeface="+mn-lt"/>
              <a:ea typeface="+mn-ea"/>
              <a:cs typeface="+mn-cs"/>
            </a:rPr>
            <a:t>Vejledning til standardløsning for udskiftning af brændselskedler i stalde"</a:t>
          </a:r>
          <a:r>
            <a:rPr lang="da-DK" sz="1100" b="1" i="0">
              <a:solidFill>
                <a:schemeClr val="dk1"/>
              </a:solidFill>
              <a:effectLst/>
              <a:latin typeface="+mn-lt"/>
              <a:ea typeface="+mn-ea"/>
              <a:cs typeface="+mn-cs"/>
            </a:rPr>
            <a:t>:</a:t>
          </a:r>
          <a:r>
            <a:rPr lang="da-DK" sz="1100" b="1" i="1">
              <a:solidFill>
                <a:schemeClr val="dk1"/>
              </a:solidFill>
              <a:effectLst/>
              <a:latin typeface="+mn-lt"/>
              <a:ea typeface="+mn-ea"/>
              <a:cs typeface="+mn-cs"/>
            </a:rPr>
            <a:t> </a:t>
          </a:r>
          <a:r>
            <a:rPr lang="da-DK" sz="1100" b="0" i="1">
              <a:solidFill>
                <a:schemeClr val="dk1"/>
              </a:solidFill>
              <a:effectLst/>
              <a:latin typeface="+mn-lt"/>
              <a:ea typeface="+mn-ea"/>
              <a:cs typeface="+mn-cs"/>
            </a:rPr>
            <a:t> </a:t>
          </a:r>
          <a:r>
            <a:rPr lang="da-DK" sz="1100">
              <a:solidFill>
                <a:schemeClr val="dk1"/>
              </a:solidFill>
              <a:effectLst/>
              <a:latin typeface="+mn-lt"/>
              <a:ea typeface="+mn-ea"/>
              <a:cs typeface="+mn-cs"/>
            </a:rPr>
            <a:t> </a:t>
          </a:r>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endParaRPr lang="da-DK" sz="900">
            <a:solidFill>
              <a:schemeClr val="dk1"/>
            </a:solidFill>
            <a:effectLst/>
            <a:latin typeface="Verdana" panose="020B0604030504040204" pitchFamily="34" charset="0"/>
            <a:ea typeface="Verdana" panose="020B0604030504040204" pitchFamily="34" charset="0"/>
            <a:cs typeface="+mn-cs"/>
          </a:endParaRPr>
        </a:p>
        <a:p>
          <a:r>
            <a:rPr lang="da-DK" sz="900">
              <a:solidFill>
                <a:schemeClr val="dk1"/>
              </a:solidFill>
              <a:effectLst/>
              <a:latin typeface="Verdana" panose="020B0604030504040204" pitchFamily="34" charset="0"/>
              <a:ea typeface="Verdana" panose="020B0604030504040204" pitchFamily="34" charset="0"/>
              <a:cs typeface="+mn-cs"/>
            </a:rPr>
            <a:t>Der gøres opmærksom på, at de generelle dokumentationskrav for ansøgningen skal være opfyldt. Dette gælder bl.a. tidsplan, budget og dokumentation for realisering. Disse findes i ”</a:t>
          </a:r>
          <a:r>
            <a:rPr lang="da-DK" sz="900" i="1">
              <a:solidFill>
                <a:schemeClr val="dk1"/>
              </a:solidFill>
              <a:effectLst/>
              <a:latin typeface="Verdana" panose="020B0604030504040204" pitchFamily="34" charset="0"/>
              <a:ea typeface="Verdana" panose="020B0604030504040204" pitchFamily="34" charset="0"/>
              <a:cs typeface="+mn-cs"/>
            </a:rPr>
            <a:t>Vejledning til ansøgning om Tilskud til energibesparelser og energieffektiviseringer i erhvervsvirksomheder”</a:t>
          </a:r>
        </a:p>
        <a:p>
          <a:endParaRPr lang="da-DK" sz="900" i="1">
            <a:solidFill>
              <a:schemeClr val="dk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900">
              <a:solidFill>
                <a:schemeClr val="dk1"/>
              </a:solidFill>
              <a:effectLst/>
              <a:latin typeface="Verdana" panose="020B0604030504040204" pitchFamily="34" charset="0"/>
              <a:ea typeface="Verdana" panose="020B0604030504040204" pitchFamily="34" charset="0"/>
              <a:cs typeface="+mn-cs"/>
            </a:rPr>
            <a:t>Såfremt standardløsningen bruges, </a:t>
          </a:r>
          <a:r>
            <a:rPr lang="da-DK" sz="900" u="sng">
              <a:solidFill>
                <a:schemeClr val="dk1"/>
              </a:solidFill>
              <a:effectLst/>
              <a:latin typeface="Verdana" panose="020B0604030504040204" pitchFamily="34" charset="0"/>
              <a:ea typeface="Verdana" panose="020B0604030504040204" pitchFamily="34" charset="0"/>
              <a:cs typeface="+mn-cs"/>
            </a:rPr>
            <a:t>skal</a:t>
          </a:r>
          <a:r>
            <a:rPr lang="da-DK" sz="900">
              <a:solidFill>
                <a:schemeClr val="dk1"/>
              </a:solidFill>
              <a:effectLst/>
              <a:latin typeface="Verdana" panose="020B0604030504040204" pitchFamily="34" charset="0"/>
              <a:ea typeface="Verdana" panose="020B0604030504040204" pitchFamily="34" charset="0"/>
              <a:cs typeface="+mn-cs"/>
            </a:rPr>
            <a:t> standardløsningen i Excel-format samt de pågældende dokumentationskrav vedhæftes i fase 2 ansøgningen. </a:t>
          </a:r>
        </a:p>
        <a:p>
          <a:endParaRPr lang="da-DK" sz="900">
            <a:solidFill>
              <a:schemeClr val="dk1"/>
            </a:solidFill>
            <a:effectLst/>
            <a:latin typeface="Verdana" panose="020B0604030504040204" pitchFamily="34" charset="0"/>
            <a:ea typeface="Verdana" panose="020B0604030504040204" pitchFamily="34" charset="0"/>
            <a:cs typeface="+mn-cs"/>
          </a:endParaRPr>
        </a:p>
      </xdr:txBody>
    </xdr:sp>
    <xdr:clientData/>
  </xdr:twoCellAnchor>
  <mc:AlternateContent xmlns:mc="http://schemas.openxmlformats.org/markup-compatibility/2006">
    <mc:Choice xmlns:a14="http://schemas.microsoft.com/office/drawing/2010/main" Requires="a14">
      <xdr:twoCellAnchor editAs="oneCell">
        <xdr:from>
          <xdr:col>13</xdr:col>
          <xdr:colOff>1971675</xdr:colOff>
          <xdr:row>36</xdr:row>
          <xdr:rowOff>123825</xdr:rowOff>
        </xdr:from>
        <xdr:to>
          <xdr:col>15</xdr:col>
          <xdr:colOff>76200</xdr:colOff>
          <xdr:row>42</xdr:row>
          <xdr:rowOff>76200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1</xdr:colOff>
      <xdr:row>1</xdr:row>
      <xdr:rowOff>0</xdr:rowOff>
    </xdr:from>
    <xdr:to>
      <xdr:col>29</xdr:col>
      <xdr:colOff>1</xdr:colOff>
      <xdr:row>9</xdr:row>
      <xdr:rowOff>0</xdr:rowOff>
    </xdr:to>
    <xdr:graphicFrame macro="">
      <xdr:nvGraphicFramePr>
        <xdr:cNvPr id="2" name="Diagram 1">
          <a:extLst>
            <a:ext uri="{FF2B5EF4-FFF2-40B4-BE49-F238E27FC236}">
              <a16:creationId xmlns:a16="http://schemas.microsoft.com/office/drawing/2014/main" id="{3FE0A845-F369-4305-B4DF-1998AD789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1</xdr:rowOff>
    </xdr:from>
    <xdr:to>
      <xdr:col>20</xdr:col>
      <xdr:colOff>0</xdr:colOff>
      <xdr:row>9</xdr:row>
      <xdr:rowOff>0</xdr:rowOff>
    </xdr:to>
    <xdr:graphicFrame macro="">
      <xdr:nvGraphicFramePr>
        <xdr:cNvPr id="3" name="Diagram 2">
          <a:extLst>
            <a:ext uri="{FF2B5EF4-FFF2-40B4-BE49-F238E27FC236}">
              <a16:creationId xmlns:a16="http://schemas.microsoft.com/office/drawing/2014/main" id="{6505B91C-C932-4BE9-9052-B725884A0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840438</xdr:colOff>
      <xdr:row>17</xdr:row>
      <xdr:rowOff>558</xdr:rowOff>
    </xdr:from>
    <xdr:to>
      <xdr:col>9</xdr:col>
      <xdr:colOff>301997</xdr:colOff>
      <xdr:row>39</xdr:row>
      <xdr:rowOff>133909</xdr:rowOff>
    </xdr:to>
    <xdr:graphicFrame macro="">
      <xdr:nvGraphicFramePr>
        <xdr:cNvPr id="4" name="Diagram 3">
          <a:extLst>
            <a:ext uri="{FF2B5EF4-FFF2-40B4-BE49-F238E27FC236}">
              <a16:creationId xmlns:a16="http://schemas.microsoft.com/office/drawing/2014/main" id="{711CC444-FA74-406B-BCB0-46DB9DE1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xdr:colOff>
      <xdr:row>11</xdr:row>
      <xdr:rowOff>0</xdr:rowOff>
    </xdr:from>
    <xdr:to>
      <xdr:col>20</xdr:col>
      <xdr:colOff>1</xdr:colOff>
      <xdr:row>19</xdr:row>
      <xdr:rowOff>0</xdr:rowOff>
    </xdr:to>
    <xdr:graphicFrame macro="">
      <xdr:nvGraphicFramePr>
        <xdr:cNvPr id="5" name="Diagram 4">
          <a:extLst>
            <a:ext uri="{FF2B5EF4-FFF2-40B4-BE49-F238E27FC236}">
              <a16:creationId xmlns:a16="http://schemas.microsoft.com/office/drawing/2014/main" id="{C2770DCA-05F3-47D0-B45C-3BF352B3E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xdr:colOff>
      <xdr:row>20</xdr:row>
      <xdr:rowOff>0</xdr:rowOff>
    </xdr:from>
    <xdr:to>
      <xdr:col>20</xdr:col>
      <xdr:colOff>1</xdr:colOff>
      <xdr:row>28</xdr:row>
      <xdr:rowOff>0</xdr:rowOff>
    </xdr:to>
    <xdr:graphicFrame macro="">
      <xdr:nvGraphicFramePr>
        <xdr:cNvPr id="6" name="Diagram 5">
          <a:extLst>
            <a:ext uri="{FF2B5EF4-FFF2-40B4-BE49-F238E27FC236}">
              <a16:creationId xmlns:a16="http://schemas.microsoft.com/office/drawing/2014/main" id="{638E667A-FB66-4B9D-B612-334FFA54F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xdr:colOff>
      <xdr:row>29</xdr:row>
      <xdr:rowOff>0</xdr:rowOff>
    </xdr:from>
    <xdr:to>
      <xdr:col>20</xdr:col>
      <xdr:colOff>1</xdr:colOff>
      <xdr:row>37</xdr:row>
      <xdr:rowOff>0</xdr:rowOff>
    </xdr:to>
    <xdr:graphicFrame macro="">
      <xdr:nvGraphicFramePr>
        <xdr:cNvPr id="7" name="Diagram 6">
          <a:extLst>
            <a:ext uri="{FF2B5EF4-FFF2-40B4-BE49-F238E27FC236}">
              <a16:creationId xmlns:a16="http://schemas.microsoft.com/office/drawing/2014/main" id="{A84C59AD-D5ED-4C97-AFA1-EF63D75A4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xdr:colOff>
      <xdr:row>38</xdr:row>
      <xdr:rowOff>0</xdr:rowOff>
    </xdr:from>
    <xdr:to>
      <xdr:col>20</xdr:col>
      <xdr:colOff>1</xdr:colOff>
      <xdr:row>46</xdr:row>
      <xdr:rowOff>0</xdr:rowOff>
    </xdr:to>
    <xdr:graphicFrame macro="">
      <xdr:nvGraphicFramePr>
        <xdr:cNvPr id="8" name="Diagram 7">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xdr:colOff>
      <xdr:row>47</xdr:row>
      <xdr:rowOff>0</xdr:rowOff>
    </xdr:from>
    <xdr:to>
      <xdr:col>20</xdr:col>
      <xdr:colOff>1</xdr:colOff>
      <xdr:row>55</xdr:row>
      <xdr:rowOff>0</xdr:rowOff>
    </xdr:to>
    <xdr:graphicFrame macro="">
      <xdr:nvGraphicFramePr>
        <xdr:cNvPr id="9" name="Diagram 8">
          <a:extLst>
            <a:ext uri="{FF2B5EF4-FFF2-40B4-BE49-F238E27FC236}">
              <a16:creationId xmlns:a16="http://schemas.microsoft.com/office/drawing/2014/main" id="{04AE0FB9-2E16-4399-BDA2-A7524B6AB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P38"/>
  <sheetViews>
    <sheetView tabSelected="1" workbookViewId="0">
      <selection activeCell="C20" sqref="C20:F20"/>
    </sheetView>
  </sheetViews>
  <sheetFormatPr defaultColWidth="10.42578125" defaultRowHeight="12.75" customHeight="1" x14ac:dyDescent="0.15"/>
  <cols>
    <col min="1" max="1" width="7.42578125" style="4" customWidth="1"/>
    <col min="2" max="2" width="4.42578125" style="4" customWidth="1"/>
    <col min="3" max="3" width="5.42578125" style="4" customWidth="1"/>
    <col min="4" max="4" width="11.42578125" style="4" customWidth="1"/>
    <col min="5" max="5" width="15.42578125" style="4" customWidth="1"/>
    <col min="6" max="6" width="10.42578125" style="4" customWidth="1"/>
    <col min="7" max="7" width="7.42578125" style="4" customWidth="1"/>
    <col min="8" max="8" width="5.140625" style="4" customWidth="1"/>
    <col min="9" max="9" width="15.42578125" style="4" customWidth="1"/>
    <col min="10" max="10" width="6.42578125" style="4" customWidth="1"/>
    <col min="11" max="11" width="4.5703125" style="4" customWidth="1"/>
    <col min="12" max="12" width="3.42578125" style="4" customWidth="1"/>
    <col min="13" max="13" width="10.42578125" style="4" customWidth="1"/>
    <col min="14" max="14" width="12.5703125" style="4" customWidth="1"/>
    <col min="15" max="15" width="7.5703125" style="4" customWidth="1"/>
    <col min="16" max="16384" width="10.42578125" style="4"/>
  </cols>
  <sheetData>
    <row r="1" spans="1:16" ht="11.25" x14ac:dyDescent="0.15">
      <c r="A1" s="1"/>
      <c r="B1" s="1"/>
      <c r="C1" s="1"/>
      <c r="D1" s="1"/>
      <c r="E1" s="1"/>
      <c r="F1" s="1"/>
      <c r="G1" s="1"/>
      <c r="H1" s="1"/>
      <c r="I1" s="1"/>
      <c r="J1" s="1"/>
      <c r="K1" s="1"/>
      <c r="L1" s="1"/>
      <c r="M1" s="1"/>
      <c r="N1" s="1"/>
      <c r="O1" s="1"/>
      <c r="P1" s="1"/>
    </row>
    <row r="2" spans="1:16" ht="14.25" customHeight="1" x14ac:dyDescent="0.2">
      <c r="A2" s="1"/>
      <c r="B2" s="258" t="s">
        <v>107</v>
      </c>
      <c r="C2" s="258"/>
      <c r="D2" s="258"/>
      <c r="E2" s="258"/>
      <c r="F2" s="258"/>
      <c r="G2" s="258"/>
      <c r="H2" s="181"/>
      <c r="I2" s="259" t="s">
        <v>108</v>
      </c>
      <c r="J2" s="259"/>
      <c r="K2" s="259"/>
      <c r="L2" s="259"/>
      <c r="M2" s="259"/>
      <c r="N2" s="259"/>
      <c r="O2" s="3"/>
      <c r="P2" s="2"/>
    </row>
    <row r="3" spans="1:16" ht="23.25" customHeight="1" x14ac:dyDescent="0.15">
      <c r="A3" s="5"/>
      <c r="B3" s="258"/>
      <c r="C3" s="258"/>
      <c r="D3" s="258"/>
      <c r="E3" s="258"/>
      <c r="F3" s="258"/>
      <c r="G3" s="258"/>
      <c r="H3" s="181"/>
      <c r="I3" s="259"/>
      <c r="J3" s="259"/>
      <c r="K3" s="259"/>
      <c r="L3" s="259"/>
      <c r="M3" s="259"/>
      <c r="N3" s="259"/>
      <c r="O3" s="7"/>
      <c r="P3" s="2"/>
    </row>
    <row r="4" spans="1:16" ht="13.5" customHeight="1" x14ac:dyDescent="0.25">
      <c r="A4" s="8"/>
      <c r="B4" s="180"/>
      <c r="C4" s="180"/>
      <c r="D4" s="180"/>
      <c r="E4" s="180"/>
      <c r="F4" s="180"/>
      <c r="G4" s="180"/>
      <c r="H4" s="9"/>
      <c r="I4" s="6"/>
      <c r="J4" s="2"/>
      <c r="K4" s="2"/>
      <c r="L4" s="2"/>
      <c r="M4" s="2"/>
      <c r="N4" s="2"/>
      <c r="O4" s="2"/>
      <c r="P4" s="10" t="s">
        <v>139</v>
      </c>
    </row>
    <row r="5" spans="1:16" ht="12.75" customHeight="1" x14ac:dyDescent="0.15">
      <c r="A5" s="11"/>
      <c r="B5" s="11"/>
      <c r="C5" s="11"/>
      <c r="D5" s="11"/>
      <c r="E5" s="11"/>
      <c r="F5" s="11"/>
      <c r="G5" s="11"/>
      <c r="H5" s="11"/>
      <c r="I5" s="11"/>
      <c r="J5" s="11"/>
      <c r="K5" s="11"/>
      <c r="L5" s="11"/>
      <c r="M5" s="11"/>
      <c r="N5" s="11"/>
      <c r="O5" s="11"/>
      <c r="P5" s="11"/>
    </row>
    <row r="6" spans="1:16" ht="6.75" customHeight="1" x14ac:dyDescent="0.15">
      <c r="A6" s="5"/>
      <c r="B6" s="12"/>
      <c r="C6" s="5"/>
      <c r="D6" s="5"/>
      <c r="E6" s="5"/>
      <c r="F6" s="5"/>
      <c r="G6" s="5"/>
      <c r="H6" s="5"/>
      <c r="I6" s="5"/>
      <c r="J6" s="5"/>
      <c r="K6" s="5"/>
      <c r="L6" s="5"/>
      <c r="M6" s="5"/>
      <c r="N6" s="5"/>
      <c r="O6" s="5"/>
      <c r="P6" s="5"/>
    </row>
    <row r="7" spans="1:16" ht="12.75" customHeight="1" x14ac:dyDescent="0.25">
      <c r="A7" s="13"/>
      <c r="B7" s="247"/>
      <c r="C7" s="247"/>
      <c r="D7" s="247"/>
      <c r="E7" s="247"/>
      <c r="F7" s="247"/>
      <c r="G7" s="247"/>
      <c r="H7" s="247"/>
      <c r="I7" s="247"/>
      <c r="J7" s="247"/>
      <c r="K7" s="247"/>
      <c r="L7" s="247"/>
      <c r="M7" s="247"/>
      <c r="N7" s="14"/>
      <c r="O7" s="14"/>
      <c r="P7" s="15"/>
    </row>
    <row r="8" spans="1:16" ht="12.75" customHeight="1" x14ac:dyDescent="0.25">
      <c r="A8" s="13"/>
      <c r="B8" s="247"/>
      <c r="C8" s="247"/>
      <c r="D8" s="247"/>
      <c r="E8" s="247"/>
      <c r="F8" s="247"/>
      <c r="G8" s="247"/>
      <c r="H8" s="247"/>
      <c r="I8" s="247"/>
      <c r="J8" s="247"/>
      <c r="K8" s="247"/>
      <c r="L8" s="247"/>
      <c r="M8" s="247"/>
      <c r="N8" s="14"/>
      <c r="O8" s="14"/>
      <c r="P8" s="16"/>
    </row>
    <row r="9" spans="1:16" ht="12.75" customHeight="1" x14ac:dyDescent="0.15">
      <c r="A9" s="13"/>
      <c r="B9" s="17"/>
      <c r="C9" s="246"/>
      <c r="D9" s="246"/>
      <c r="E9" s="246"/>
      <c r="F9" s="246"/>
      <c r="G9" s="246"/>
      <c r="H9" s="246"/>
      <c r="I9" s="246"/>
      <c r="J9" s="246"/>
      <c r="K9" s="246"/>
      <c r="L9" s="246"/>
      <c r="M9" s="246"/>
      <c r="N9" s="18"/>
      <c r="O9" s="18"/>
      <c r="P9" s="19"/>
    </row>
    <row r="10" spans="1:16" ht="12.75" customHeight="1" x14ac:dyDescent="0.15">
      <c r="A10" s="13"/>
      <c r="B10" s="17"/>
      <c r="C10" s="246"/>
      <c r="D10" s="246"/>
      <c r="E10" s="246"/>
      <c r="F10" s="246"/>
      <c r="G10" s="246"/>
      <c r="H10" s="246"/>
      <c r="I10" s="246"/>
      <c r="J10" s="246"/>
      <c r="K10" s="246"/>
      <c r="L10" s="246"/>
      <c r="M10" s="246"/>
      <c r="N10" s="18"/>
      <c r="O10" s="18"/>
      <c r="P10" s="19"/>
    </row>
    <row r="11" spans="1:16" ht="12.75" customHeight="1" x14ac:dyDescent="0.15">
      <c r="A11" s="13"/>
      <c r="B11" s="17"/>
      <c r="C11" s="246"/>
      <c r="D11" s="246"/>
      <c r="E11" s="246"/>
      <c r="F11" s="246"/>
      <c r="G11" s="246"/>
      <c r="H11" s="246"/>
      <c r="I11" s="246"/>
      <c r="J11" s="246"/>
      <c r="K11" s="246"/>
      <c r="L11" s="246"/>
      <c r="M11" s="246"/>
      <c r="N11" s="18"/>
      <c r="O11" s="18"/>
      <c r="P11" s="19"/>
    </row>
    <row r="12" spans="1:16" ht="12.75" customHeight="1" x14ac:dyDescent="0.15">
      <c r="A12" s="13"/>
      <c r="B12" s="17"/>
      <c r="C12" s="246"/>
      <c r="D12" s="246"/>
      <c r="E12" s="246"/>
      <c r="F12" s="246"/>
      <c r="G12" s="246"/>
      <c r="H12" s="246"/>
      <c r="I12" s="246"/>
      <c r="J12" s="246"/>
      <c r="K12" s="246"/>
      <c r="L12" s="246"/>
      <c r="M12" s="246"/>
      <c r="N12" s="18"/>
      <c r="O12" s="18"/>
      <c r="P12" s="19"/>
    </row>
    <row r="13" spans="1:16" ht="12.75" customHeight="1" x14ac:dyDescent="0.15">
      <c r="A13" s="13"/>
      <c r="B13" s="17"/>
      <c r="C13" s="246"/>
      <c r="D13" s="246"/>
      <c r="E13" s="246"/>
      <c r="F13" s="246"/>
      <c r="G13" s="246"/>
      <c r="H13" s="246"/>
      <c r="I13" s="246"/>
      <c r="J13" s="246"/>
      <c r="K13" s="246"/>
      <c r="L13" s="246"/>
      <c r="M13" s="246"/>
      <c r="N13" s="18"/>
      <c r="O13" s="18"/>
      <c r="P13" s="19"/>
    </row>
    <row r="14" spans="1:16" ht="12.75" customHeight="1" x14ac:dyDescent="0.15">
      <c r="A14" s="13"/>
      <c r="B14" s="17"/>
      <c r="C14" s="248"/>
      <c r="D14" s="248"/>
      <c r="E14" s="248"/>
      <c r="F14" s="248"/>
      <c r="G14" s="248"/>
      <c r="H14" s="248"/>
      <c r="I14" s="248"/>
      <c r="J14" s="248"/>
      <c r="K14" s="248"/>
      <c r="L14" s="248"/>
      <c r="M14" s="248"/>
      <c r="N14" s="20"/>
      <c r="O14" s="20"/>
      <c r="P14" s="16"/>
    </row>
    <row r="15" spans="1:16" ht="9.75" customHeight="1" x14ac:dyDescent="0.3">
      <c r="A15" s="13"/>
      <c r="B15" s="21"/>
      <c r="C15" s="13"/>
      <c r="D15" s="13"/>
      <c r="E15" s="13"/>
      <c r="F15" s="13"/>
      <c r="G15" s="13"/>
      <c r="H15" s="13"/>
      <c r="I15" s="13"/>
      <c r="J15" s="13"/>
      <c r="K15" s="22"/>
      <c r="L15" s="22"/>
      <c r="M15" s="13"/>
      <c r="N15" s="13"/>
      <c r="O15" s="13"/>
      <c r="P15" s="13"/>
    </row>
    <row r="16" spans="1:16" ht="18" x14ac:dyDescent="0.25">
      <c r="A16" s="13"/>
      <c r="B16" s="262"/>
      <c r="C16" s="262"/>
      <c r="D16" s="262"/>
      <c r="E16" s="262"/>
      <c r="F16" s="262"/>
      <c r="G16" s="262"/>
      <c r="H16" s="262"/>
      <c r="I16" s="262"/>
      <c r="J16" s="262"/>
      <c r="K16" s="13"/>
      <c r="L16" s="23"/>
      <c r="M16" s="13"/>
      <c r="N16" s="13"/>
      <c r="O16" s="13"/>
      <c r="P16" s="23"/>
    </row>
    <row r="17" spans="1:16" ht="12.75" customHeight="1" x14ac:dyDescent="0.15">
      <c r="A17" s="13"/>
      <c r="B17" s="17"/>
      <c r="C17" s="248"/>
      <c r="D17" s="248"/>
      <c r="E17" s="248"/>
      <c r="F17" s="248"/>
      <c r="G17" s="20"/>
      <c r="H17" s="249"/>
      <c r="I17" s="249"/>
      <c r="J17" s="15"/>
      <c r="K17" s="13"/>
      <c r="L17" s="250"/>
      <c r="M17" s="251"/>
      <c r="N17" s="251"/>
      <c r="O17" s="251"/>
      <c r="P17" s="251"/>
    </row>
    <row r="18" spans="1:16" ht="12.75" customHeight="1" x14ac:dyDescent="0.15">
      <c r="A18" s="13"/>
      <c r="B18" s="17"/>
      <c r="C18" s="246"/>
      <c r="D18" s="246"/>
      <c r="E18" s="246"/>
      <c r="F18" s="246"/>
      <c r="G18" s="18"/>
      <c r="H18" s="250"/>
      <c r="I18" s="250"/>
      <c r="J18" s="15"/>
      <c r="K18" s="13"/>
      <c r="L18" s="250"/>
      <c r="M18" s="251"/>
      <c r="N18" s="251"/>
      <c r="O18" s="251"/>
      <c r="P18" s="251"/>
    </row>
    <row r="19" spans="1:16" ht="12.75" customHeight="1" x14ac:dyDescent="0.15">
      <c r="A19" s="13"/>
      <c r="B19" s="17"/>
      <c r="C19" s="248"/>
      <c r="D19" s="248"/>
      <c r="E19" s="248"/>
      <c r="F19" s="248"/>
      <c r="G19" s="20"/>
      <c r="H19" s="260"/>
      <c r="I19" s="260"/>
      <c r="J19" s="24"/>
      <c r="K19" s="25"/>
      <c r="L19" s="260"/>
      <c r="M19" s="261"/>
      <c r="N19" s="261"/>
      <c r="O19" s="261"/>
      <c r="P19" s="261"/>
    </row>
    <row r="20" spans="1:16" ht="12.75" customHeight="1" x14ac:dyDescent="0.15">
      <c r="A20" s="13"/>
      <c r="B20" s="17"/>
      <c r="C20" s="248"/>
      <c r="D20" s="248"/>
      <c r="E20" s="248"/>
      <c r="F20" s="248"/>
      <c r="G20" s="20"/>
      <c r="H20" s="260"/>
      <c r="I20" s="260"/>
      <c r="J20" s="24"/>
      <c r="K20" s="25"/>
      <c r="L20" s="260"/>
      <c r="M20" s="261"/>
      <c r="N20" s="261"/>
      <c r="O20" s="261"/>
      <c r="P20" s="261"/>
    </row>
    <row r="21" spans="1:16" ht="12" customHeight="1" x14ac:dyDescent="0.2">
      <c r="A21" s="13"/>
      <c r="B21" s="26"/>
      <c r="C21" s="15"/>
      <c r="D21" s="2"/>
      <c r="E21" s="27" t="s">
        <v>0</v>
      </c>
      <c r="F21" s="28"/>
      <c r="G21" s="28"/>
      <c r="H21" s="2"/>
      <c r="I21" s="29" t="s">
        <v>1</v>
      </c>
      <c r="J21" s="28"/>
      <c r="K21" s="28"/>
      <c r="L21" s="2"/>
      <c r="M21" s="28"/>
      <c r="N21" s="28"/>
      <c r="O21" s="29"/>
      <c r="P21" s="24"/>
    </row>
    <row r="22" spans="1:16" ht="34.35" customHeight="1" x14ac:dyDescent="0.15">
      <c r="A22" s="13"/>
      <c r="B22" s="17"/>
      <c r="C22" s="15"/>
      <c r="D22" s="2"/>
      <c r="E22" s="253" t="s">
        <v>143</v>
      </c>
      <c r="F22" s="253"/>
      <c r="G22" s="253"/>
      <c r="H22" s="2"/>
      <c r="I22" s="254" t="s">
        <v>2</v>
      </c>
      <c r="J22" s="254"/>
      <c r="K22" s="254"/>
      <c r="L22" s="254"/>
      <c r="M22" s="254"/>
      <c r="N22" s="30"/>
      <c r="O22" s="253"/>
      <c r="P22" s="253"/>
    </row>
    <row r="23" spans="1:16" ht="27" customHeight="1" x14ac:dyDescent="0.15">
      <c r="A23" s="13"/>
      <c r="B23" s="17"/>
      <c r="C23" s="15"/>
      <c r="D23" s="2"/>
      <c r="E23" s="253" t="s">
        <v>144</v>
      </c>
      <c r="F23" s="253"/>
      <c r="G23" s="253"/>
      <c r="H23" s="2"/>
      <c r="I23" s="254" t="s">
        <v>3</v>
      </c>
      <c r="J23" s="254"/>
      <c r="K23" s="254"/>
      <c r="L23" s="254"/>
      <c r="M23" s="254"/>
      <c r="N23" s="31"/>
      <c r="O23" s="253"/>
      <c r="P23" s="253"/>
    </row>
    <row r="24" spans="1:16" ht="33.75" customHeight="1" x14ac:dyDescent="0.15">
      <c r="A24" s="13"/>
      <c r="B24" s="17"/>
      <c r="C24" s="15"/>
      <c r="D24" s="2"/>
      <c r="E24" s="253" t="s">
        <v>145</v>
      </c>
      <c r="F24" s="253"/>
      <c r="G24" s="253"/>
      <c r="H24" s="2"/>
      <c r="I24" s="254"/>
      <c r="J24" s="254"/>
      <c r="K24" s="254"/>
      <c r="L24" s="254"/>
      <c r="M24" s="254"/>
      <c r="N24" s="31"/>
      <c r="O24" s="253"/>
      <c r="P24" s="253"/>
    </row>
    <row r="25" spans="1:16" ht="33" customHeight="1" x14ac:dyDescent="0.15">
      <c r="A25" s="13"/>
      <c r="B25" s="17"/>
      <c r="C25" s="15"/>
      <c r="D25" s="2"/>
      <c r="E25" s="255" t="s">
        <v>146</v>
      </c>
      <c r="F25" s="253"/>
      <c r="G25" s="253"/>
      <c r="H25" s="5"/>
      <c r="I25" s="15"/>
      <c r="J25" s="15"/>
      <c r="K25" s="15"/>
      <c r="L25" s="15"/>
      <c r="M25" s="15"/>
      <c r="N25" s="15"/>
      <c r="O25" s="15"/>
      <c r="P25" s="15"/>
    </row>
    <row r="26" spans="1:16" ht="12.75" customHeight="1" x14ac:dyDescent="0.15">
      <c r="A26" s="13"/>
      <c r="B26" s="13"/>
      <c r="C26" s="15"/>
      <c r="D26" s="15"/>
      <c r="E26" s="253"/>
      <c r="F26" s="253"/>
      <c r="G26" s="253"/>
      <c r="H26" s="15"/>
      <c r="I26" s="15"/>
      <c r="J26" s="15"/>
      <c r="K26" s="15"/>
      <c r="L26" s="15"/>
      <c r="M26" s="15"/>
      <c r="N26" s="15"/>
      <c r="O26" s="15"/>
      <c r="P26" s="15"/>
    </row>
    <row r="27" spans="1:16" ht="18.75" customHeight="1" x14ac:dyDescent="0.15">
      <c r="A27" s="13"/>
      <c r="B27" s="32"/>
      <c r="C27" s="15"/>
      <c r="D27" s="15"/>
      <c r="E27" s="15"/>
      <c r="F27" s="15"/>
      <c r="G27" s="15"/>
      <c r="H27" s="15"/>
      <c r="I27" s="15"/>
      <c r="J27" s="15"/>
      <c r="K27" s="15"/>
      <c r="L27" s="15"/>
      <c r="M27" s="15"/>
      <c r="N27" s="15"/>
      <c r="O27" s="15"/>
      <c r="P27" s="15"/>
    </row>
    <row r="28" spans="1:16" ht="12.75" customHeight="1" x14ac:dyDescent="0.15">
      <c r="A28" s="13"/>
      <c r="B28" s="33"/>
      <c r="C28" s="15"/>
      <c r="D28" s="15"/>
      <c r="E28" s="15"/>
      <c r="F28" s="15"/>
      <c r="G28" s="15"/>
      <c r="H28" s="15"/>
      <c r="I28" s="15"/>
      <c r="J28" s="15"/>
      <c r="K28" s="15"/>
      <c r="L28" s="15"/>
      <c r="M28" s="15"/>
      <c r="N28" s="15"/>
      <c r="O28" s="15"/>
      <c r="P28" s="15"/>
    </row>
    <row r="29" spans="1:16" ht="12.75" customHeight="1" x14ac:dyDescent="0.15">
      <c r="A29" s="13"/>
      <c r="B29" s="33"/>
      <c r="C29" s="15"/>
      <c r="D29" s="15"/>
      <c r="E29" s="15"/>
      <c r="F29" s="15"/>
      <c r="G29" s="15"/>
      <c r="H29" s="15"/>
      <c r="I29" s="15"/>
      <c r="J29" s="15"/>
      <c r="K29" s="15"/>
      <c r="L29" s="15"/>
      <c r="M29" s="15"/>
      <c r="N29" s="15"/>
      <c r="O29" s="15"/>
      <c r="P29" s="15"/>
    </row>
    <row r="30" spans="1:16" ht="15" customHeight="1" x14ac:dyDescent="0.15">
      <c r="A30" s="13"/>
      <c r="B30" s="20"/>
      <c r="C30" s="15"/>
      <c r="D30" s="15"/>
      <c r="E30" s="15"/>
      <c r="F30" s="15"/>
      <c r="G30" s="15"/>
      <c r="H30" s="15"/>
      <c r="I30" s="15"/>
      <c r="J30" s="15"/>
      <c r="K30" s="15"/>
      <c r="L30" s="15"/>
      <c r="M30" s="15"/>
      <c r="N30" s="15"/>
      <c r="O30" s="15"/>
      <c r="P30" s="15"/>
    </row>
    <row r="31" spans="1:16" ht="12.75" customHeight="1" x14ac:dyDescent="0.15">
      <c r="A31" s="13"/>
      <c r="B31" s="256"/>
      <c r="C31" s="256"/>
      <c r="D31" s="256"/>
      <c r="E31" s="256"/>
      <c r="F31" s="256"/>
      <c r="G31" s="34"/>
      <c r="H31" s="34"/>
      <c r="I31" s="257"/>
      <c r="J31" s="256"/>
      <c r="K31" s="13"/>
      <c r="L31" s="250"/>
      <c r="M31" s="252"/>
      <c r="N31" s="252"/>
      <c r="O31" s="252"/>
      <c r="P31" s="252"/>
    </row>
    <row r="32" spans="1:16" ht="15" customHeight="1" x14ac:dyDescent="0.15">
      <c r="A32" s="13"/>
      <c r="B32" s="256"/>
      <c r="C32" s="256"/>
      <c r="D32" s="256"/>
      <c r="E32" s="256"/>
      <c r="F32" s="256"/>
      <c r="G32" s="34"/>
      <c r="H32" s="34"/>
      <c r="I32" s="257"/>
      <c r="J32" s="256"/>
      <c r="K32" s="13"/>
      <c r="L32" s="250"/>
      <c r="M32" s="252"/>
      <c r="N32" s="252"/>
      <c r="O32" s="252"/>
      <c r="P32" s="252"/>
    </row>
    <row r="33" spans="1:16" ht="18.75" customHeight="1" x14ac:dyDescent="0.15">
      <c r="A33" s="13"/>
      <c r="B33" s="13"/>
      <c r="C33" s="13"/>
      <c r="D33" s="13"/>
      <c r="E33" s="13"/>
      <c r="F33" s="13"/>
      <c r="G33" s="13"/>
      <c r="H33" s="13"/>
      <c r="I33" s="13"/>
      <c r="J33" s="13"/>
      <c r="K33" s="13"/>
      <c r="L33" s="13"/>
      <c r="M33" s="13"/>
      <c r="N33" s="13"/>
      <c r="O33" s="13"/>
      <c r="P33" s="13"/>
    </row>
    <row r="34" spans="1:16" ht="12.75" customHeight="1" x14ac:dyDescent="0.15">
      <c r="A34" s="5"/>
      <c r="B34" s="5"/>
      <c r="C34" s="5"/>
      <c r="D34" s="5"/>
      <c r="E34" s="5"/>
      <c r="F34" s="5"/>
      <c r="G34" s="5"/>
      <c r="H34" s="5"/>
      <c r="I34" s="5"/>
      <c r="J34" s="5"/>
      <c r="K34" s="5"/>
      <c r="L34" s="5"/>
      <c r="M34" s="5"/>
      <c r="N34" s="5"/>
      <c r="O34" s="5"/>
      <c r="P34" s="5"/>
    </row>
    <row r="35" spans="1:16" ht="12.75" customHeight="1" x14ac:dyDescent="0.15">
      <c r="A35" s="5"/>
      <c r="B35" s="5"/>
      <c r="C35" s="5"/>
      <c r="D35" s="5"/>
      <c r="E35" s="5"/>
      <c r="F35" s="5"/>
      <c r="G35" s="5"/>
      <c r="H35" s="5"/>
      <c r="I35" s="5"/>
      <c r="J35" s="5"/>
      <c r="K35" s="5"/>
      <c r="L35" s="5"/>
      <c r="M35" s="5"/>
      <c r="N35" s="5"/>
      <c r="O35" s="5"/>
      <c r="P35" s="5"/>
    </row>
    <row r="36" spans="1:16" ht="12.75" customHeight="1" x14ac:dyDescent="0.15">
      <c r="A36" s="5"/>
      <c r="B36" s="5"/>
      <c r="C36" s="5"/>
      <c r="D36" s="5"/>
      <c r="E36" s="5"/>
      <c r="F36" s="5"/>
      <c r="G36" s="5"/>
      <c r="H36" s="5"/>
      <c r="I36" s="5"/>
      <c r="J36" s="5"/>
      <c r="K36" s="5"/>
      <c r="L36" s="5"/>
      <c r="M36" s="5"/>
      <c r="N36" s="5"/>
      <c r="O36" s="5"/>
      <c r="P36" s="5"/>
    </row>
    <row r="37" spans="1:16" ht="12.75" customHeight="1" x14ac:dyDescent="0.15">
      <c r="A37" s="5"/>
      <c r="B37" s="5"/>
      <c r="C37" s="5"/>
      <c r="D37" s="5"/>
      <c r="E37" s="5"/>
      <c r="F37" s="5"/>
      <c r="G37" s="5"/>
      <c r="H37" s="5"/>
      <c r="I37" s="5"/>
      <c r="J37" s="5"/>
      <c r="K37" s="5"/>
      <c r="L37" s="5"/>
      <c r="M37" s="5"/>
      <c r="N37" s="5"/>
      <c r="O37" s="5"/>
      <c r="P37" s="5"/>
    </row>
    <row r="38" spans="1:16" ht="12.75" customHeight="1" x14ac:dyDescent="0.15">
      <c r="A38" s="5"/>
      <c r="B38" s="5"/>
      <c r="C38" s="5"/>
      <c r="D38" s="5"/>
      <c r="E38" s="5"/>
      <c r="F38" s="5"/>
      <c r="G38" s="5"/>
      <c r="H38" s="5"/>
      <c r="I38" s="5"/>
      <c r="J38" s="5"/>
      <c r="K38" s="5"/>
      <c r="L38" s="5"/>
      <c r="M38" s="5"/>
      <c r="N38" s="5"/>
      <c r="O38" s="5"/>
      <c r="P38" s="5"/>
    </row>
  </sheetData>
  <sheetProtection algorithmName="SHA-512" hashValue="AmLnznalltZNEcsUbXoTq5i9W4oUxRSfHE5SRtuA7QWN1v9A3kGa4DbZ3X/KmiPWHxa5pqJrBfyUxu3p+xP1Kw==" saltValue="Rnn2+/NJ98SPD4JM5kPXbw==" spinCount="100000" sheet="1" objects="1" scenarios="1"/>
  <mergeCells count="38">
    <mergeCell ref="B2:G3"/>
    <mergeCell ref="I2:N3"/>
    <mergeCell ref="E24:G24"/>
    <mergeCell ref="I24:M24"/>
    <mergeCell ref="O24:P24"/>
    <mergeCell ref="C19:F19"/>
    <mergeCell ref="H19:I19"/>
    <mergeCell ref="L19:L20"/>
    <mergeCell ref="M19:P20"/>
    <mergeCell ref="C20:F20"/>
    <mergeCell ref="H20:I20"/>
    <mergeCell ref="C11:M11"/>
    <mergeCell ref="C12:M12"/>
    <mergeCell ref="C13:M13"/>
    <mergeCell ref="C14:M14"/>
    <mergeCell ref="B16:J16"/>
    <mergeCell ref="M31:P32"/>
    <mergeCell ref="E22:G22"/>
    <mergeCell ref="I22:M22"/>
    <mergeCell ref="O22:P22"/>
    <mergeCell ref="E23:G23"/>
    <mergeCell ref="I23:M23"/>
    <mergeCell ref="O23:P23"/>
    <mergeCell ref="E25:G25"/>
    <mergeCell ref="B31:F32"/>
    <mergeCell ref="I31:I32"/>
    <mergeCell ref="J31:J32"/>
    <mergeCell ref="L31:L32"/>
    <mergeCell ref="E26:G26"/>
    <mergeCell ref="C10:M10"/>
    <mergeCell ref="B7:M8"/>
    <mergeCell ref="C9:M9"/>
    <mergeCell ref="C17:F17"/>
    <mergeCell ref="H17:I17"/>
    <mergeCell ref="L17:L18"/>
    <mergeCell ref="M17:P18"/>
    <mergeCell ref="C18:F18"/>
    <mergeCell ref="H18:I18"/>
  </mergeCells>
  <conditionalFormatting sqref="K15:L15">
    <cfRule type="iconSet" priority="1">
      <iconSet iconSet="3Symbols2">
        <cfvo type="percent" val="0"/>
        <cfvo type="percent" val="33"/>
        <cfvo type="percent" val="67"/>
      </iconSet>
    </cfRule>
  </conditionalFormatting>
  <dataValidations count="1">
    <dataValidation type="list" allowBlank="1" showInputMessage="1" showErrorMessage="1" sqref="H18:H20">
      <formula1>#REF!</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zoomScale="90" zoomScaleNormal="90" workbookViewId="0">
      <selection activeCell="J10" sqref="J10"/>
    </sheetView>
  </sheetViews>
  <sheetFormatPr defaultColWidth="9.140625" defaultRowHeight="15" customHeight="1" x14ac:dyDescent="0.25"/>
  <cols>
    <col min="1" max="1" width="12.5703125" style="223" customWidth="1"/>
    <col min="2" max="2" width="22.5703125" style="223" customWidth="1"/>
    <col min="3" max="3" width="13.85546875" style="223" bestFit="1" customWidth="1"/>
    <col min="4" max="11" width="9.140625" style="223" customWidth="1"/>
    <col min="12" max="12" width="9.42578125" style="223" bestFit="1" customWidth="1"/>
    <col min="13" max="13" width="14" style="222" bestFit="1" customWidth="1"/>
    <col min="14" max="14" width="13.85546875" style="222" bestFit="1" customWidth="1"/>
    <col min="15" max="15" width="9.42578125" style="222" bestFit="1" customWidth="1"/>
    <col min="16" max="21" width="9.140625" style="222"/>
    <col min="22" max="22" width="9.42578125" style="222" bestFit="1" customWidth="1"/>
    <col min="23" max="23" width="13.85546875" style="222" bestFit="1" customWidth="1"/>
    <col min="24" max="16384" width="9.140625" style="222"/>
  </cols>
  <sheetData>
    <row r="1" spans="1:29" ht="15" customHeight="1" x14ac:dyDescent="0.25">
      <c r="A1" s="233"/>
      <c r="E1" s="230"/>
      <c r="F1" s="230"/>
      <c r="G1" s="230"/>
      <c r="H1" s="230"/>
      <c r="I1" s="230"/>
      <c r="J1" s="230"/>
      <c r="K1" s="230"/>
      <c r="L1" s="233"/>
    </row>
    <row r="2" spans="1:29" ht="15" customHeight="1" x14ac:dyDescent="0.25">
      <c r="B2" s="225"/>
      <c r="C2" s="225"/>
      <c r="F2" s="232"/>
      <c r="L2" s="233" t="str">
        <f>IF(M4=C3,1,IF(M5=C3,2,IF(M6=C3,3,IF(M7=C3,4,IF(M8=C3,5,IF(M9=C3,6,IF(M10=C3,7,"")))))))</f>
        <v/>
      </c>
      <c r="M2" s="225" t="e">
        <f>VLOOKUP(L2,L4:N10,2)</f>
        <v>#N/A</v>
      </c>
      <c r="N2" s="225" t="e">
        <f>VLOOKUP(L2,L4:N10,3)</f>
        <v>#N/A</v>
      </c>
      <c r="V2" s="225" t="s">
        <v>74</v>
      </c>
      <c r="W2" s="225">
        <v>0.01</v>
      </c>
    </row>
    <row r="3" spans="1:29" ht="15" customHeight="1" x14ac:dyDescent="0.25">
      <c r="B3" s="228" t="s">
        <v>61</v>
      </c>
      <c r="C3" s="228">
        <f>'Kyllinge - virkningsgrad'!B10</f>
        <v>0</v>
      </c>
      <c r="E3" s="235" t="e">
        <f>N2</f>
        <v>#N/A</v>
      </c>
      <c r="F3" s="232"/>
    </row>
    <row r="4" spans="1:29" ht="15" customHeight="1" x14ac:dyDescent="0.25">
      <c r="B4" s="228" t="s">
        <v>74</v>
      </c>
      <c r="C4" s="223">
        <f>'Kyllinge - virkningsgrad'!B9</f>
        <v>0</v>
      </c>
      <c r="E4" s="235" t="e">
        <f xml:space="preserve"> 0.0043*LN(C4) + 0.93</f>
        <v>#NUM!</v>
      </c>
      <c r="F4" s="232"/>
      <c r="L4" s="233">
        <v>1</v>
      </c>
      <c r="M4" s="222" t="s">
        <v>75</v>
      </c>
      <c r="N4" s="224" t="e">
        <f>N12</f>
        <v>#NUM!</v>
      </c>
      <c r="V4" s="222">
        <v>1000</v>
      </c>
      <c r="W4" s="224">
        <v>0.96</v>
      </c>
    </row>
    <row r="5" spans="1:29" ht="15" customHeight="1" x14ac:dyDescent="0.25">
      <c r="B5" s="228" t="s">
        <v>76</v>
      </c>
      <c r="C5" s="228">
        <f>'Kyllinge - virkningsgrad'!B11</f>
        <v>0</v>
      </c>
      <c r="E5" s="232"/>
      <c r="F5" s="232"/>
      <c r="J5" s="234" t="str">
        <f>IF(M4=C3,1,IF(M5=C3,2,IF(M6=C3,3,IF(M7=C3,4,IF(M8=C3,5,"")))))</f>
        <v/>
      </c>
      <c r="L5" s="233">
        <v>2</v>
      </c>
      <c r="M5" s="222" t="s">
        <v>77</v>
      </c>
      <c r="N5" s="224" t="e">
        <f>N21</f>
        <v>#NUM!</v>
      </c>
      <c r="V5" s="222">
        <v>100</v>
      </c>
      <c r="W5" s="224">
        <f>W4-W2</f>
        <v>0.95</v>
      </c>
    </row>
    <row r="6" spans="1:29" ht="15" customHeight="1" x14ac:dyDescent="0.25">
      <c r="B6" s="228" t="s">
        <v>78</v>
      </c>
      <c r="C6" s="228">
        <f>'Kyllinge - virkningsgrad'!B12*100</f>
        <v>0</v>
      </c>
      <c r="E6" s="228"/>
      <c r="F6" s="230"/>
      <c r="G6" s="230"/>
      <c r="H6" s="230"/>
      <c r="I6" s="230"/>
      <c r="J6" s="230"/>
      <c r="K6" s="230"/>
      <c r="L6" s="233">
        <v>3</v>
      </c>
      <c r="M6" s="222" t="s">
        <v>79</v>
      </c>
      <c r="N6" s="224" t="e">
        <f>N30</f>
        <v>#NUM!</v>
      </c>
      <c r="V6" s="222">
        <v>10</v>
      </c>
      <c r="W6" s="224">
        <f>W5-W2</f>
        <v>0.94</v>
      </c>
    </row>
    <row r="7" spans="1:29" ht="15" customHeight="1" x14ac:dyDescent="0.25">
      <c r="B7" s="228"/>
      <c r="C7" s="228"/>
      <c r="E7" s="228"/>
      <c r="F7" s="232"/>
      <c r="G7" s="232"/>
      <c r="H7" s="232"/>
      <c r="I7" s="232"/>
      <c r="J7" s="232"/>
      <c r="K7" s="232"/>
      <c r="L7" s="233">
        <v>4</v>
      </c>
      <c r="M7" s="222" t="s">
        <v>80</v>
      </c>
      <c r="N7" s="224" t="e">
        <f>N39</f>
        <v>#NUM!</v>
      </c>
    </row>
    <row r="8" spans="1:29" ht="15" customHeight="1" x14ac:dyDescent="0.25">
      <c r="B8" s="229" t="s">
        <v>81</v>
      </c>
      <c r="C8" s="229" t="e">
        <f>E3</f>
        <v>#N/A</v>
      </c>
      <c r="E8" s="228"/>
      <c r="G8" s="232"/>
      <c r="H8" s="232"/>
      <c r="I8" s="232"/>
      <c r="J8" s="232"/>
      <c r="K8" s="232"/>
      <c r="L8" s="223">
        <v>5</v>
      </c>
      <c r="M8" s="222" t="s">
        <v>82</v>
      </c>
      <c r="N8" s="224" t="e">
        <f>N48</f>
        <v>#NUM!</v>
      </c>
    </row>
    <row r="9" spans="1:29" ht="15" customHeight="1" x14ac:dyDescent="0.25">
      <c r="B9" s="228" t="s">
        <v>83</v>
      </c>
      <c r="C9" s="228" t="e">
        <f>C6*C8</f>
        <v>#N/A</v>
      </c>
      <c r="E9" s="228"/>
      <c r="F9" s="232"/>
      <c r="G9" s="232"/>
      <c r="H9" s="232"/>
      <c r="I9" s="232"/>
      <c r="J9" s="232"/>
      <c r="K9" s="232"/>
      <c r="L9" s="223">
        <v>6</v>
      </c>
      <c r="M9" s="222" t="s">
        <v>84</v>
      </c>
      <c r="N9" s="224" t="e">
        <f>N57</f>
        <v>#NUM!</v>
      </c>
    </row>
    <row r="10" spans="1:29" ht="15" customHeight="1" x14ac:dyDescent="0.25">
      <c r="B10" s="228" t="s">
        <v>85</v>
      </c>
      <c r="C10" s="228" t="e">
        <f>C6-C9</f>
        <v>#N/A</v>
      </c>
      <c r="E10" s="228"/>
      <c r="F10" s="230"/>
      <c r="G10" s="231"/>
      <c r="H10" s="230"/>
      <c r="I10" s="230"/>
      <c r="J10" s="230"/>
      <c r="K10" s="230"/>
      <c r="L10" s="223">
        <v>7</v>
      </c>
      <c r="M10" s="222" t="s">
        <v>86</v>
      </c>
      <c r="N10" s="224" t="e">
        <f>N21</f>
        <v>#NUM!</v>
      </c>
    </row>
    <row r="11" spans="1:29" ht="15" customHeight="1" x14ac:dyDescent="0.15">
      <c r="B11" s="228"/>
      <c r="C11" s="228"/>
      <c r="E11" s="228"/>
      <c r="F11" s="228"/>
      <c r="G11" s="228"/>
      <c r="H11" s="228"/>
      <c r="I11" s="228"/>
      <c r="J11" s="228"/>
      <c r="K11" s="228"/>
      <c r="L11" s="226"/>
    </row>
    <row r="12" spans="1:29" ht="15" customHeight="1" x14ac:dyDescent="0.25">
      <c r="B12" s="229" t="s">
        <v>87</v>
      </c>
      <c r="C12" s="229" t="e">
        <f>E4</f>
        <v>#NUM!</v>
      </c>
      <c r="E12" s="228"/>
      <c r="F12" s="228"/>
      <c r="G12" s="228" t="s">
        <v>75</v>
      </c>
      <c r="H12" s="228" t="s">
        <v>77</v>
      </c>
      <c r="I12" s="223" t="s">
        <v>79</v>
      </c>
      <c r="J12" s="223" t="s">
        <v>80</v>
      </c>
      <c r="K12" s="228"/>
      <c r="M12" s="225" t="s">
        <v>75</v>
      </c>
      <c r="N12" s="225" t="e">
        <f>-0.062*LN(C5) + 0.9904</f>
        <v>#NUM!</v>
      </c>
    </row>
    <row r="13" spans="1:29" ht="15" customHeight="1" x14ac:dyDescent="0.25">
      <c r="B13" s="228" t="s">
        <v>88</v>
      </c>
      <c r="C13" s="228" t="e">
        <f>C6*C12</f>
        <v>#NUM!</v>
      </c>
      <c r="E13" s="228"/>
      <c r="F13" s="228">
        <v>1</v>
      </c>
      <c r="G13" s="228">
        <f>N14*$C$6/100</f>
        <v>0</v>
      </c>
      <c r="H13" s="228">
        <f>N23*$C$6/100</f>
        <v>0</v>
      </c>
      <c r="I13" s="228">
        <f>N32*$C$6/100</f>
        <v>0</v>
      </c>
      <c r="J13" s="228">
        <f>N41*$C$6/100</f>
        <v>0</v>
      </c>
      <c r="K13" s="228"/>
    </row>
    <row r="14" spans="1:29" ht="15" customHeight="1" x14ac:dyDescent="0.25">
      <c r="B14" s="228" t="s">
        <v>89</v>
      </c>
      <c r="C14" s="228" t="e">
        <f>C9*C12</f>
        <v>#N/A</v>
      </c>
      <c r="E14" s="228"/>
      <c r="F14" s="223">
        <v>10</v>
      </c>
      <c r="G14" s="228">
        <f>N15*$C$6/100</f>
        <v>0</v>
      </c>
      <c r="H14" s="228">
        <f>N24*$C$6/100</f>
        <v>0</v>
      </c>
      <c r="I14" s="228">
        <f>N33*$C$6/100</f>
        <v>0</v>
      </c>
      <c r="J14" s="228">
        <f>N42*$C$6/100</f>
        <v>0</v>
      </c>
      <c r="K14" s="228"/>
      <c r="M14" s="222">
        <v>1</v>
      </c>
      <c r="N14" s="224">
        <v>0.99</v>
      </c>
    </row>
    <row r="15" spans="1:29" ht="15" customHeight="1" x14ac:dyDescent="0.25">
      <c r="B15" s="228" t="s">
        <v>85</v>
      </c>
      <c r="C15" s="228" t="e">
        <f>C13-C14</f>
        <v>#NUM!</v>
      </c>
      <c r="E15" s="228"/>
      <c r="F15" s="223">
        <v>30</v>
      </c>
      <c r="G15" s="228">
        <f>N16*$C$6/100</f>
        <v>0</v>
      </c>
      <c r="H15" s="228">
        <f>N25*$C$6/100</f>
        <v>0</v>
      </c>
      <c r="I15" s="228">
        <f>N34*$C$6/100</f>
        <v>0</v>
      </c>
      <c r="J15" s="228">
        <f>N43*$C$6/100</f>
        <v>0</v>
      </c>
      <c r="K15" s="228"/>
      <c r="M15" s="222">
        <v>10</v>
      </c>
      <c r="N15" s="224">
        <v>0.85</v>
      </c>
    </row>
    <row r="16" spans="1:29" s="227" customFormat="1" ht="15" customHeight="1" x14ac:dyDescent="0.15">
      <c r="A16" s="223"/>
      <c r="B16" s="228"/>
      <c r="C16" s="228"/>
      <c r="D16" s="228"/>
      <c r="E16" s="223"/>
      <c r="F16" s="223"/>
      <c r="G16" s="223"/>
      <c r="H16" s="223"/>
      <c r="I16" s="223"/>
      <c r="J16" s="223"/>
      <c r="K16" s="223"/>
      <c r="L16" s="223"/>
      <c r="M16" s="222">
        <v>30</v>
      </c>
      <c r="N16" s="224">
        <v>0.78</v>
      </c>
      <c r="O16" s="222"/>
      <c r="P16" s="222"/>
      <c r="Q16" s="222"/>
      <c r="R16" s="222"/>
      <c r="S16" s="222"/>
      <c r="T16" s="222"/>
      <c r="U16" s="222"/>
      <c r="V16" s="222"/>
      <c r="W16" s="222"/>
      <c r="X16" s="222"/>
      <c r="Y16" s="222"/>
      <c r="Z16" s="222"/>
      <c r="AA16" s="222"/>
      <c r="AB16" s="222"/>
      <c r="AC16" s="222"/>
    </row>
    <row r="17" spans="1:29" s="227" customFormat="1" ht="15" customHeight="1" x14ac:dyDescent="0.15">
      <c r="A17" s="223"/>
      <c r="B17" s="228"/>
      <c r="C17" s="228"/>
      <c r="D17" s="228"/>
      <c r="E17" s="223"/>
      <c r="F17" s="223"/>
      <c r="G17" s="223"/>
      <c r="H17" s="223"/>
      <c r="I17" s="223"/>
      <c r="J17" s="223"/>
      <c r="K17" s="223"/>
      <c r="L17" s="223"/>
      <c r="M17" s="222"/>
      <c r="N17" s="222"/>
      <c r="O17" s="222"/>
      <c r="P17" s="222"/>
      <c r="Q17" s="222"/>
      <c r="R17" s="222"/>
      <c r="S17" s="222"/>
      <c r="T17" s="222"/>
      <c r="U17" s="222"/>
      <c r="V17" s="222"/>
      <c r="W17" s="222"/>
      <c r="X17" s="222"/>
      <c r="Y17" s="222"/>
      <c r="Z17" s="222"/>
      <c r="AA17" s="222"/>
      <c r="AB17" s="222"/>
      <c r="AC17" s="222"/>
    </row>
    <row r="18" spans="1:29" s="227" customFormat="1" ht="15" customHeight="1" x14ac:dyDescent="0.15">
      <c r="A18" s="223"/>
      <c r="B18" s="228"/>
      <c r="C18" s="228"/>
      <c r="D18" s="228"/>
      <c r="E18" s="223"/>
      <c r="F18" s="223"/>
      <c r="G18" s="223"/>
      <c r="H18" s="223"/>
      <c r="I18" s="223"/>
      <c r="J18" s="223"/>
      <c r="K18" s="223"/>
      <c r="L18" s="226"/>
      <c r="M18" s="222"/>
      <c r="N18" s="222"/>
      <c r="O18" s="222"/>
      <c r="P18" s="222"/>
      <c r="Q18" s="222"/>
      <c r="R18" s="222"/>
      <c r="S18" s="222"/>
      <c r="T18" s="222"/>
      <c r="U18" s="222"/>
      <c r="V18" s="222"/>
      <c r="W18" s="222"/>
      <c r="X18" s="222"/>
      <c r="Y18" s="222"/>
      <c r="Z18" s="222"/>
      <c r="AA18" s="222"/>
      <c r="AB18" s="222"/>
      <c r="AC18" s="222"/>
    </row>
    <row r="19" spans="1:29" ht="15" customHeight="1" x14ac:dyDescent="0.15">
      <c r="L19" s="226"/>
    </row>
    <row r="20" spans="1:29" ht="15" customHeight="1" x14ac:dyDescent="0.15">
      <c r="L20" s="226"/>
    </row>
    <row r="21" spans="1:29" ht="15" customHeight="1" x14ac:dyDescent="0.25">
      <c r="M21" s="225" t="s">
        <v>77</v>
      </c>
      <c r="N21" s="225" t="e">
        <f xml:space="preserve"> -0.067*LN(C5) + 0.9852</f>
        <v>#NUM!</v>
      </c>
    </row>
    <row r="23" spans="1:29" ht="15" customHeight="1" x14ac:dyDescent="0.25">
      <c r="M23" s="222">
        <v>1</v>
      </c>
      <c r="N23" s="224">
        <v>0.98504999999999998</v>
      </c>
    </row>
    <row r="24" spans="1:29" ht="15" customHeight="1" x14ac:dyDescent="0.25">
      <c r="M24" s="222">
        <v>10</v>
      </c>
      <c r="N24" s="224">
        <v>0.83129999999999993</v>
      </c>
    </row>
    <row r="25" spans="1:29" ht="15" customHeight="1" x14ac:dyDescent="0.25">
      <c r="M25" s="222">
        <v>30</v>
      </c>
      <c r="N25" s="224">
        <v>0.75660000000000005</v>
      </c>
    </row>
    <row r="30" spans="1:29" ht="15" customHeight="1" x14ac:dyDescent="0.25">
      <c r="M30" s="225" t="s">
        <v>79</v>
      </c>
      <c r="N30" s="225" t="e">
        <f>-0.066*LN(C5) + 0.9655</f>
        <v>#NUM!</v>
      </c>
      <c r="O30" s="222">
        <v>0.98</v>
      </c>
    </row>
    <row r="32" spans="1:29" ht="15" customHeight="1" x14ac:dyDescent="0.25">
      <c r="M32" s="222">
        <v>1</v>
      </c>
      <c r="N32" s="224">
        <f>N23*$O$30</f>
        <v>0.96534900000000001</v>
      </c>
    </row>
    <row r="33" spans="13:15" ht="15" customHeight="1" x14ac:dyDescent="0.25">
      <c r="M33" s="222">
        <v>10</v>
      </c>
      <c r="N33" s="224">
        <f>N24*$O$30</f>
        <v>0.8146739999999999</v>
      </c>
    </row>
    <row r="34" spans="13:15" ht="15" customHeight="1" x14ac:dyDescent="0.25">
      <c r="M34" s="222">
        <v>30</v>
      </c>
      <c r="N34" s="224">
        <f>N25*$O$30</f>
        <v>0.74146800000000002</v>
      </c>
    </row>
    <row r="39" spans="13:15" ht="15" customHeight="1" x14ac:dyDescent="0.25">
      <c r="M39" s="225" t="s">
        <v>80</v>
      </c>
      <c r="N39" s="225" t="e">
        <f>-0.074*LN(C5) + 0.9268</f>
        <v>#NUM!</v>
      </c>
      <c r="O39" s="222">
        <v>0.95</v>
      </c>
    </row>
    <row r="41" spans="13:15" ht="15" customHeight="1" x14ac:dyDescent="0.25">
      <c r="M41" s="222">
        <v>1</v>
      </c>
      <c r="N41" s="224">
        <v>0.92643952499999993</v>
      </c>
    </row>
    <row r="42" spans="13:15" ht="15" customHeight="1" x14ac:dyDescent="0.25">
      <c r="M42" s="222">
        <v>10</v>
      </c>
      <c r="N42" s="224">
        <v>0.75649999999999995</v>
      </c>
    </row>
    <row r="43" spans="13:15" ht="15" customHeight="1" x14ac:dyDescent="0.25">
      <c r="M43" s="222">
        <v>30</v>
      </c>
      <c r="N43" s="224">
        <v>0.67313999999999996</v>
      </c>
    </row>
    <row r="48" spans="13:15" ht="15" customHeight="1" x14ac:dyDescent="0.25">
      <c r="M48" s="225" t="s">
        <v>82</v>
      </c>
      <c r="N48" s="225" t="e">
        <f>-0.062*LN(C5) + 0.97</f>
        <v>#NUM!</v>
      </c>
      <c r="O48" s="222">
        <v>0.95</v>
      </c>
    </row>
    <row r="50" spans="13:14" ht="15" customHeight="1" x14ac:dyDescent="0.25">
      <c r="M50" s="222">
        <v>1</v>
      </c>
      <c r="N50" s="224">
        <v>0.92643952499999993</v>
      </c>
    </row>
    <row r="51" spans="13:14" ht="15" customHeight="1" x14ac:dyDescent="0.25">
      <c r="M51" s="222">
        <v>10</v>
      </c>
      <c r="N51" s="224">
        <v>0.75649999999999995</v>
      </c>
    </row>
    <row r="52" spans="13:14" ht="15" customHeight="1" x14ac:dyDescent="0.25">
      <c r="M52" s="222">
        <v>30</v>
      </c>
      <c r="N52" s="224">
        <v>0.67313999999999996</v>
      </c>
    </row>
    <row r="57" spans="13:14" ht="15" customHeight="1" x14ac:dyDescent="0.25">
      <c r="M57" s="225" t="s">
        <v>84</v>
      </c>
      <c r="N57" s="225" t="e">
        <f>-0.065*LN(C5) + 0.99999999</f>
        <v>#NUM!</v>
      </c>
    </row>
    <row r="59" spans="13:14" ht="15" customHeight="1" x14ac:dyDescent="0.25">
      <c r="M59" s="222">
        <v>1</v>
      </c>
      <c r="N59" s="224">
        <v>0.92643952499999993</v>
      </c>
    </row>
    <row r="60" spans="13:14" ht="15" customHeight="1" x14ac:dyDescent="0.25">
      <c r="M60" s="222">
        <v>10</v>
      </c>
      <c r="N60" s="224">
        <v>0.75649999999999995</v>
      </c>
    </row>
    <row r="61" spans="13:14" ht="15" customHeight="1" x14ac:dyDescent="0.25">
      <c r="M61" s="222">
        <v>30</v>
      </c>
      <c r="N61" s="224">
        <v>0.67313999999999996</v>
      </c>
    </row>
    <row r="64" spans="13:14" ht="15" customHeight="1" x14ac:dyDescent="0.25">
      <c r="M64" s="225"/>
      <c r="N64" s="225"/>
    </row>
    <row r="66" spans="14:14" ht="15" customHeight="1" x14ac:dyDescent="0.25">
      <c r="N66" s="224"/>
    </row>
    <row r="67" spans="14:14" ht="15" customHeight="1" x14ac:dyDescent="0.25">
      <c r="N67" s="224"/>
    </row>
    <row r="68" spans="14:14" ht="15" customHeight="1" x14ac:dyDescent="0.25">
      <c r="N68" s="224"/>
    </row>
  </sheetData>
  <dataValidations count="1">
    <dataValidation type="list" allowBlank="1" showInputMessage="1" showErrorMessage="1" sqref="C3">
      <formula1>$M$4:$M$9</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O25"/>
  <sheetViews>
    <sheetView topLeftCell="B4" workbookViewId="0">
      <selection activeCell="C13" sqref="C13"/>
    </sheetView>
  </sheetViews>
  <sheetFormatPr defaultColWidth="10.42578125" defaultRowHeight="12.75" customHeight="1" x14ac:dyDescent="0.15"/>
  <cols>
    <col min="1" max="1" width="7.42578125" style="4" customWidth="1"/>
    <col min="2" max="2" width="3.42578125" style="4" customWidth="1"/>
    <col min="3" max="3" width="8.42578125" style="4" customWidth="1"/>
    <col min="4" max="4" width="10.42578125" style="4" customWidth="1"/>
    <col min="5" max="5" width="7.5703125" style="4" customWidth="1"/>
    <col min="6" max="6" width="12.5703125" style="4" customWidth="1"/>
    <col min="7" max="7" width="14" style="4" customWidth="1"/>
    <col min="8" max="8" width="6" style="4" customWidth="1"/>
    <col min="9" max="9" width="6.85546875" style="4" customWidth="1"/>
    <col min="10" max="10" width="12.140625" style="4" customWidth="1"/>
    <col min="11" max="11" width="10.42578125" style="4"/>
    <col min="12" max="12" width="12.85546875" style="4" customWidth="1"/>
    <col min="13" max="13" width="11.140625" style="4" customWidth="1"/>
    <col min="14" max="14" width="12.5703125" style="4" customWidth="1"/>
    <col min="15" max="16384" width="10.42578125" style="4"/>
  </cols>
  <sheetData>
    <row r="1" spans="1:15" ht="12" customHeight="1" x14ac:dyDescent="0.2">
      <c r="A1" s="35"/>
      <c r="B1" s="181"/>
      <c r="C1" s="181"/>
      <c r="D1" s="181"/>
      <c r="E1" s="181"/>
      <c r="F1" s="181"/>
      <c r="G1" s="181"/>
      <c r="H1" s="184"/>
      <c r="I1" s="184"/>
      <c r="J1" s="3"/>
      <c r="K1" s="3"/>
      <c r="L1" s="3"/>
      <c r="M1" s="2"/>
      <c r="N1" s="36"/>
      <c r="O1" s="3"/>
    </row>
    <row r="2" spans="1:15" ht="12" customHeight="1" x14ac:dyDescent="0.15">
      <c r="A2" s="2"/>
      <c r="B2" s="258" t="str">
        <f>Forside!B2</f>
        <v xml:space="preserve">Standardløsningskatalog for udskiftning af brændselskedler i stalde </v>
      </c>
      <c r="C2" s="258"/>
      <c r="D2" s="258"/>
      <c r="E2" s="258"/>
      <c r="F2" s="258"/>
      <c r="G2" s="258"/>
      <c r="H2" s="184"/>
      <c r="I2" s="259" t="str">
        <f>Forside!I2</f>
        <v>Standardløsningskatalog for udskiftning af brændselskedler i stalde - Tilskud til energibesparelser og energieffektiviseringer i erhvervsvirksomheder</v>
      </c>
      <c r="J2" s="259"/>
      <c r="K2" s="259"/>
      <c r="L2" s="259"/>
      <c r="M2" s="259"/>
      <c r="N2" s="183"/>
      <c r="O2" s="7"/>
    </row>
    <row r="3" spans="1:15" ht="30.75" customHeight="1" x14ac:dyDescent="0.25">
      <c r="A3" s="37"/>
      <c r="B3" s="258"/>
      <c r="C3" s="258"/>
      <c r="D3" s="258"/>
      <c r="E3" s="258"/>
      <c r="F3" s="258"/>
      <c r="G3" s="258"/>
      <c r="H3" s="2"/>
      <c r="I3" s="259"/>
      <c r="J3" s="259"/>
      <c r="K3" s="259"/>
      <c r="L3" s="259"/>
      <c r="M3" s="259"/>
      <c r="N3" s="7"/>
      <c r="O3" s="7"/>
    </row>
    <row r="4" spans="1:15" ht="10.35" customHeight="1" x14ac:dyDescent="0.25">
      <c r="A4" s="37"/>
      <c r="B4" s="185"/>
      <c r="C4" s="185"/>
      <c r="D4" s="185"/>
      <c r="E4" s="185"/>
      <c r="F4" s="185"/>
      <c r="G4" s="185"/>
      <c r="H4" s="2"/>
      <c r="I4" s="186"/>
      <c r="J4" s="186"/>
      <c r="K4" s="186"/>
      <c r="L4" s="186"/>
      <c r="M4" s="186"/>
      <c r="N4" s="7"/>
      <c r="O4" s="10" t="str">
        <f>Forside!P4</f>
        <v>Vers. 1  11.03.2022</v>
      </c>
    </row>
    <row r="5" spans="1:15" ht="11.25" x14ac:dyDescent="0.15">
      <c r="A5" s="38"/>
      <c r="B5" s="38"/>
      <c r="C5" s="38"/>
      <c r="D5" s="38"/>
      <c r="E5" s="38"/>
      <c r="F5" s="38"/>
      <c r="G5" s="38"/>
      <c r="H5" s="38"/>
      <c r="I5" s="38"/>
      <c r="J5" s="38"/>
      <c r="K5" s="38"/>
      <c r="L5" s="38"/>
      <c r="M5" s="38"/>
      <c r="N5" s="38"/>
      <c r="O5" s="38"/>
    </row>
    <row r="6" spans="1:15" ht="11.25" x14ac:dyDescent="0.15">
      <c r="A6" s="2"/>
      <c r="B6" s="2"/>
      <c r="C6" s="2"/>
      <c r="D6" s="2"/>
      <c r="E6" s="2"/>
      <c r="F6" s="2"/>
      <c r="G6" s="2"/>
      <c r="H6" s="2"/>
      <c r="I6" s="2"/>
      <c r="J6" s="2"/>
      <c r="K6" s="2"/>
      <c r="L6" s="2"/>
      <c r="M6" s="2"/>
      <c r="N6" s="2"/>
      <c r="O6" s="2"/>
    </row>
    <row r="7" spans="1:15" s="43" customFormat="1" x14ac:dyDescent="0.2">
      <c r="A7" s="39"/>
      <c r="B7" s="39"/>
      <c r="C7" s="40" t="s">
        <v>4</v>
      </c>
      <c r="D7" s="41"/>
      <c r="E7" s="41"/>
      <c r="F7" s="41"/>
      <c r="G7" s="41"/>
      <c r="H7" s="41"/>
      <c r="I7" s="41"/>
      <c r="J7" s="42"/>
      <c r="K7" s="41"/>
      <c r="L7" s="41"/>
      <c r="M7" s="41"/>
      <c r="N7" s="41"/>
      <c r="O7" s="41"/>
    </row>
    <row r="8" spans="1:15" s="43" customFormat="1" ht="46.5" customHeight="1" x14ac:dyDescent="0.2">
      <c r="A8" s="39"/>
      <c r="B8" s="39"/>
      <c r="C8" s="263" t="s">
        <v>5</v>
      </c>
      <c r="D8" s="263"/>
      <c r="E8" s="263"/>
      <c r="F8" s="263"/>
      <c r="G8" s="263"/>
      <c r="H8" s="263"/>
      <c r="I8" s="263"/>
      <c r="J8" s="263"/>
      <c r="K8" s="263"/>
      <c r="L8" s="263"/>
      <c r="M8" s="263"/>
      <c r="N8" s="263"/>
      <c r="O8" s="41"/>
    </row>
    <row r="9" spans="1:15" ht="11.25" x14ac:dyDescent="0.15">
      <c r="A9" s="44"/>
      <c r="B9" s="2"/>
      <c r="C9" s="2"/>
      <c r="D9" s="2"/>
      <c r="E9" s="2"/>
      <c r="F9" s="2"/>
      <c r="G9" s="2"/>
      <c r="H9" s="2"/>
      <c r="I9" s="2"/>
      <c r="J9" s="2"/>
      <c r="K9" s="2"/>
      <c r="L9" s="2"/>
      <c r="M9" s="2"/>
      <c r="N9" s="2"/>
      <c r="O9" s="2"/>
    </row>
    <row r="10" spans="1:15" ht="18.75" x14ac:dyDescent="0.3">
      <c r="A10" s="44"/>
      <c r="B10" s="45">
        <v>1</v>
      </c>
      <c r="C10" s="46" t="s">
        <v>114</v>
      </c>
      <c r="D10" s="2"/>
      <c r="E10" s="2"/>
      <c r="F10" s="2"/>
      <c r="G10" s="2"/>
      <c r="H10" s="2"/>
      <c r="I10" s="2"/>
      <c r="J10" s="2"/>
      <c r="K10" s="2"/>
      <c r="L10" s="2"/>
      <c r="M10" s="2"/>
      <c r="N10" s="2"/>
      <c r="O10" s="2"/>
    </row>
    <row r="11" spans="1:15" ht="186.75" customHeight="1" x14ac:dyDescent="0.25">
      <c r="A11" s="44"/>
      <c r="B11" s="45"/>
      <c r="C11" s="263" t="s">
        <v>115</v>
      </c>
      <c r="D11" s="263"/>
      <c r="E11" s="263"/>
      <c r="F11" s="263"/>
      <c r="G11" s="263"/>
      <c r="H11" s="263"/>
      <c r="I11" s="263"/>
      <c r="J11" s="263"/>
      <c r="K11" s="263"/>
      <c r="L11" s="263"/>
      <c r="M11" s="263"/>
      <c r="N11" s="263"/>
      <c r="O11" s="2"/>
    </row>
    <row r="12" spans="1:15" ht="12.75" customHeight="1" x14ac:dyDescent="0.25">
      <c r="A12" s="44"/>
      <c r="B12" s="47"/>
      <c r="C12" s="48"/>
      <c r="D12" s="2"/>
      <c r="E12" s="2"/>
      <c r="F12" s="2"/>
      <c r="G12" s="2"/>
      <c r="H12" s="2"/>
      <c r="I12" s="2"/>
      <c r="J12" s="2"/>
      <c r="K12" s="2"/>
      <c r="L12" s="2"/>
      <c r="M12" s="2"/>
      <c r="N12" s="2"/>
      <c r="O12" s="2"/>
    </row>
    <row r="13" spans="1:15" ht="18.75" x14ac:dyDescent="0.3">
      <c r="A13" s="44"/>
      <c r="B13" s="45">
        <v>2</v>
      </c>
      <c r="C13" s="46" t="s">
        <v>140</v>
      </c>
      <c r="D13" s="2"/>
      <c r="E13" s="2"/>
      <c r="F13" s="2"/>
      <c r="G13" s="2"/>
      <c r="H13" s="2"/>
      <c r="I13" s="2"/>
      <c r="J13" s="2"/>
      <c r="K13" s="2"/>
      <c r="L13" s="2"/>
      <c r="M13" s="2"/>
      <c r="N13" s="2"/>
      <c r="O13" s="2"/>
    </row>
    <row r="14" spans="1:15" ht="154.5" customHeight="1" x14ac:dyDescent="0.25">
      <c r="A14" s="44"/>
      <c r="B14" s="45"/>
      <c r="C14" s="263" t="s">
        <v>147</v>
      </c>
      <c r="D14" s="263"/>
      <c r="E14" s="263"/>
      <c r="F14" s="263"/>
      <c r="G14" s="263"/>
      <c r="H14" s="263"/>
      <c r="I14" s="263"/>
      <c r="J14" s="263"/>
      <c r="K14" s="263"/>
      <c r="L14" s="263"/>
      <c r="M14" s="263"/>
      <c r="N14" s="263"/>
      <c r="O14" s="2"/>
    </row>
    <row r="15" spans="1:15" ht="12.75" customHeight="1" x14ac:dyDescent="0.15">
      <c r="A15" s="44"/>
      <c r="B15" s="44"/>
      <c r="C15" s="44"/>
      <c r="D15" s="44"/>
      <c r="E15" s="44"/>
      <c r="F15" s="44"/>
      <c r="G15" s="44"/>
      <c r="H15" s="44"/>
      <c r="I15" s="44"/>
      <c r="J15" s="44"/>
      <c r="K15" s="44"/>
      <c r="L15" s="44"/>
      <c r="M15" s="44"/>
      <c r="N15" s="44"/>
      <c r="O15" s="2"/>
    </row>
    <row r="16" spans="1:15" ht="11.25" x14ac:dyDescent="0.15">
      <c r="A16" s="44"/>
      <c r="B16" s="44"/>
      <c r="C16" s="44"/>
      <c r="D16" s="44"/>
      <c r="E16" s="44"/>
      <c r="F16" s="44"/>
      <c r="G16" s="44"/>
      <c r="H16" s="44"/>
      <c r="I16" s="44"/>
      <c r="J16" s="44"/>
      <c r="K16" s="44"/>
      <c r="L16" s="44"/>
      <c r="M16" s="44"/>
      <c r="N16" s="44"/>
      <c r="O16" s="2"/>
    </row>
    <row r="17" spans="1:15" ht="12.75" customHeight="1" x14ac:dyDescent="0.15">
      <c r="A17" s="44"/>
      <c r="B17" s="44"/>
      <c r="C17" s="44"/>
      <c r="D17" s="44"/>
      <c r="E17" s="44"/>
      <c r="F17" s="44"/>
      <c r="G17" s="44"/>
      <c r="H17" s="44"/>
      <c r="I17" s="44"/>
      <c r="J17" s="44"/>
      <c r="K17" s="44"/>
      <c r="L17" s="44"/>
      <c r="M17" s="44"/>
      <c r="N17" s="44"/>
      <c r="O17" s="2"/>
    </row>
    <row r="18" spans="1:15" ht="12.75" customHeight="1" x14ac:dyDescent="0.15">
      <c r="A18" s="44"/>
      <c r="B18" s="44"/>
      <c r="C18" s="44"/>
      <c r="D18" s="44"/>
      <c r="E18" s="44"/>
      <c r="F18" s="44"/>
      <c r="G18" s="44"/>
      <c r="H18" s="44"/>
      <c r="I18" s="44"/>
      <c r="J18" s="44"/>
      <c r="K18" s="44"/>
      <c r="L18" s="44"/>
      <c r="M18" s="44"/>
      <c r="N18" s="44"/>
      <c r="O18" s="2"/>
    </row>
    <row r="19" spans="1:15" ht="12.75" customHeight="1" x14ac:dyDescent="0.25">
      <c r="A19" s="44"/>
      <c r="B19" s="47"/>
      <c r="C19" s="48"/>
      <c r="D19" s="2"/>
      <c r="E19" s="2"/>
      <c r="F19" s="2"/>
      <c r="G19" s="2"/>
      <c r="H19" s="2"/>
      <c r="I19" s="2"/>
      <c r="J19" s="2"/>
      <c r="K19" s="2"/>
      <c r="L19" s="2"/>
      <c r="M19" s="2"/>
      <c r="N19" s="2"/>
      <c r="O19" s="2"/>
    </row>
    <row r="20" spans="1:15" ht="11.25" x14ac:dyDescent="0.15"/>
    <row r="25" spans="1:15" ht="11.25" x14ac:dyDescent="0.15"/>
  </sheetData>
  <sheetProtection algorithmName="SHA-512" hashValue="KHV+OJMwxL7VTySYUFZe4dfOW01lv6hGUba/AHAJrfIZ4IFTv1jvvONvMdTI5iELY3gQUsWBgCSWvukAjr7xdw==" saltValue="VVx/Use8AgBRaIg5/K2/4g==" spinCount="100000" sheet="1" objects="1" scenarios="1"/>
  <mergeCells count="5">
    <mergeCell ref="C11:N11"/>
    <mergeCell ref="C8:N8"/>
    <mergeCell ref="B2:G3"/>
    <mergeCell ref="I2:M3"/>
    <mergeCell ref="C14:N14"/>
  </mergeCells>
  <hyperlinks>
    <hyperlink ref="C10" location="'1'!A1" display="Indregulering"/>
    <hyperlink ref="B10:B11" location="'1'!A1" display="'1'!A1"/>
    <hyperlink ref="C13" location="'1'!A1" display="Indregulering"/>
    <hyperlink ref="B13:B14" location="'1'!A1" display="'1'!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AB58"/>
  <sheetViews>
    <sheetView zoomScale="90" zoomScaleNormal="90" workbookViewId="0">
      <selection activeCell="E19" sqref="E19:F19"/>
    </sheetView>
  </sheetViews>
  <sheetFormatPr defaultColWidth="10.42578125" defaultRowHeight="12.75" customHeight="1" x14ac:dyDescent="0.15"/>
  <cols>
    <col min="1" max="1" width="3.5703125" style="66" customWidth="1"/>
    <col min="2" max="2" width="4.42578125" style="66" customWidth="1"/>
    <col min="3" max="3" width="8" style="66" customWidth="1"/>
    <col min="4" max="4" width="14.85546875" style="66" customWidth="1"/>
    <col min="5" max="5" width="9.140625" style="66" customWidth="1"/>
    <col min="6" max="6" width="11" style="66" customWidth="1"/>
    <col min="7" max="7" width="5.85546875" style="66" customWidth="1"/>
    <col min="8" max="8" width="15.7109375" style="66" customWidth="1"/>
    <col min="9" max="9" width="20.28515625" style="66" customWidth="1"/>
    <col min="10" max="10" width="2.5703125" style="66" customWidth="1"/>
    <col min="11" max="11" width="5" style="66" customWidth="1"/>
    <col min="12" max="12" width="4.140625" style="66" customWidth="1"/>
    <col min="13" max="13" width="15" style="66" customWidth="1"/>
    <col min="14" max="14" width="10.85546875" style="66" customWidth="1"/>
    <col min="15" max="15" width="17" style="66" customWidth="1"/>
    <col min="16" max="16" width="12" style="66" customWidth="1"/>
    <col min="17" max="17" width="12.140625" style="66" customWidth="1"/>
    <col min="18" max="18" width="9.85546875" style="66" customWidth="1"/>
    <col min="19" max="20" width="2.5703125" style="66" customWidth="1"/>
    <col min="21" max="21" width="10.42578125" style="66"/>
    <col min="22" max="22" width="10.85546875" style="66" bestFit="1" customWidth="1"/>
    <col min="23" max="16384" width="10.42578125" style="66"/>
  </cols>
  <sheetData>
    <row r="1" spans="1:28" ht="12.75" customHeight="1" x14ac:dyDescent="0.25">
      <c r="A1" s="49"/>
      <c r="B1" s="187"/>
      <c r="C1" s="187"/>
      <c r="D1" s="187"/>
      <c r="E1" s="187"/>
      <c r="F1" s="187"/>
      <c r="G1" s="187"/>
      <c r="H1" s="187"/>
      <c r="I1" s="188"/>
      <c r="J1" s="50"/>
      <c r="K1" s="50"/>
      <c r="L1" s="50"/>
      <c r="M1" s="3"/>
      <c r="N1" s="2"/>
      <c r="O1" s="2"/>
      <c r="P1" s="36"/>
      <c r="Q1" s="36"/>
      <c r="R1" s="36"/>
      <c r="S1" s="51"/>
      <c r="T1" s="57"/>
    </row>
    <row r="2" spans="1:28" ht="12.75" customHeight="1" x14ac:dyDescent="0.25">
      <c r="A2" s="50"/>
      <c r="B2" s="264" t="str">
        <f>Beskrivelse!C10</f>
        <v>Udskiftning af brændselskedel i konventionel grisestald</v>
      </c>
      <c r="C2" s="264"/>
      <c r="D2" s="264"/>
      <c r="E2" s="264"/>
      <c r="F2" s="264"/>
      <c r="G2" s="264"/>
      <c r="H2" s="264"/>
      <c r="I2" s="264"/>
      <c r="J2" s="50"/>
      <c r="K2" s="259" t="str">
        <f>Forside!I2</f>
        <v>Standardløsningskatalog for udskiftning af brændselskedler i stalde - Tilskud til energibesparelser og energieffektiviseringer i erhvervsvirksomheder</v>
      </c>
      <c r="L2" s="259"/>
      <c r="M2" s="259"/>
      <c r="N2" s="259"/>
      <c r="O2" s="259"/>
      <c r="P2" s="259"/>
      <c r="Q2" s="7"/>
      <c r="R2" s="7"/>
      <c r="S2" s="51"/>
      <c r="T2" s="57"/>
    </row>
    <row r="3" spans="1:28" ht="24" customHeight="1" x14ac:dyDescent="0.25">
      <c r="A3" s="52"/>
      <c r="B3" s="264"/>
      <c r="C3" s="264"/>
      <c r="D3" s="264"/>
      <c r="E3" s="264"/>
      <c r="F3" s="264"/>
      <c r="G3" s="264"/>
      <c r="H3" s="264"/>
      <c r="I3" s="264"/>
      <c r="J3" s="50"/>
      <c r="K3" s="259"/>
      <c r="L3" s="259"/>
      <c r="M3" s="259"/>
      <c r="N3" s="259"/>
      <c r="O3" s="259"/>
      <c r="P3" s="259"/>
      <c r="Q3" s="2"/>
      <c r="R3" s="2"/>
      <c r="S3" s="10" t="str">
        <f>Forside!P4</f>
        <v>Vers. 1  11.03.2022</v>
      </c>
      <c r="T3" s="57"/>
    </row>
    <row r="4" spans="1:28" ht="13.35" customHeight="1" x14ac:dyDescent="0.25">
      <c r="A4" s="52"/>
      <c r="B4" s="53"/>
      <c r="C4" s="54"/>
      <c r="D4" s="50"/>
      <c r="E4" s="50"/>
      <c r="F4" s="53"/>
      <c r="G4" s="53"/>
      <c r="H4" s="50"/>
      <c r="I4" s="50"/>
      <c r="J4" s="50"/>
      <c r="K4" s="6"/>
      <c r="L4" s="2"/>
      <c r="M4" s="2"/>
      <c r="N4" s="2"/>
      <c r="O4" s="2"/>
      <c r="P4" s="2"/>
      <c r="Q4" s="2"/>
      <c r="R4" s="2"/>
      <c r="S4" s="10"/>
      <c r="T4" s="57"/>
    </row>
    <row r="5" spans="1:28" ht="12.75" customHeight="1" x14ac:dyDescent="0.15">
      <c r="A5" s="55"/>
      <c r="B5" s="55"/>
      <c r="C5" s="55"/>
      <c r="D5" s="55"/>
      <c r="E5" s="55"/>
      <c r="F5" s="55"/>
      <c r="G5" s="55"/>
      <c r="H5" s="55"/>
      <c r="I5" s="55"/>
      <c r="J5" s="55"/>
      <c r="K5" s="55"/>
      <c r="L5" s="55"/>
      <c r="M5" s="55"/>
      <c r="N5" s="55"/>
      <c r="O5" s="55"/>
      <c r="P5" s="55"/>
      <c r="Q5" s="55"/>
      <c r="R5" s="55"/>
      <c r="S5" s="55"/>
      <c r="T5" s="55"/>
    </row>
    <row r="6" spans="1:28" ht="18" x14ac:dyDescent="0.25">
      <c r="A6" s="2"/>
      <c r="B6" s="271" t="s">
        <v>7</v>
      </c>
      <c r="C6" s="271"/>
      <c r="D6" s="271"/>
      <c r="E6" s="271"/>
      <c r="F6" s="271"/>
      <c r="G6" s="271"/>
      <c r="H6" s="271"/>
      <c r="I6" s="271"/>
      <c r="J6" s="271"/>
      <c r="K6" s="271"/>
      <c r="L6" s="271"/>
      <c r="M6" s="271"/>
      <c r="N6" s="50"/>
      <c r="O6" s="56"/>
      <c r="P6" s="50"/>
      <c r="Q6" s="50"/>
      <c r="R6" s="50"/>
      <c r="S6" s="57"/>
      <c r="T6" s="57"/>
    </row>
    <row r="7" spans="1:28" ht="12.75" customHeight="1" x14ac:dyDescent="0.25">
      <c r="A7" s="2"/>
      <c r="B7" s="271"/>
      <c r="C7" s="271"/>
      <c r="D7" s="271"/>
      <c r="E7" s="271"/>
      <c r="F7" s="271"/>
      <c r="G7" s="271"/>
      <c r="H7" s="271"/>
      <c r="I7" s="271"/>
      <c r="J7" s="271"/>
      <c r="K7" s="271"/>
      <c r="L7" s="271"/>
      <c r="M7" s="271"/>
      <c r="N7" s="58"/>
      <c r="O7" s="59"/>
      <c r="P7" s="59"/>
      <c r="Q7" s="59"/>
      <c r="R7" s="59"/>
      <c r="S7" s="57"/>
      <c r="T7" s="57"/>
    </row>
    <row r="8" spans="1:28" ht="12.75" customHeight="1" x14ac:dyDescent="0.25">
      <c r="A8" s="2"/>
      <c r="B8" s="60" t="s">
        <v>8</v>
      </c>
      <c r="C8" s="268" t="s">
        <v>148</v>
      </c>
      <c r="D8" s="268"/>
      <c r="E8" s="268"/>
      <c r="F8" s="268"/>
      <c r="G8" s="268"/>
      <c r="H8" s="268"/>
      <c r="I8" s="268"/>
      <c r="J8" s="268"/>
      <c r="K8" s="268"/>
      <c r="L8" s="268"/>
      <c r="M8" s="268"/>
      <c r="N8" s="89"/>
      <c r="O8" s="89"/>
      <c r="P8" s="89"/>
      <c r="Q8" s="89"/>
      <c r="R8" s="61"/>
      <c r="S8" s="62">
        <f>IF(R8="",0,IF(R8='Grise - regneark'!B10,1,-1))</f>
        <v>0</v>
      </c>
      <c r="T8" s="57"/>
    </row>
    <row r="9" spans="1:28" ht="12.75" customHeight="1" x14ac:dyDescent="0.25">
      <c r="A9" s="2"/>
      <c r="B9" s="175" t="s">
        <v>8</v>
      </c>
      <c r="C9" s="244" t="s">
        <v>141</v>
      </c>
      <c r="D9" s="182"/>
      <c r="E9" s="182"/>
      <c r="F9" s="182"/>
      <c r="G9" s="182"/>
      <c r="H9" s="182"/>
      <c r="I9" s="182"/>
      <c r="J9" s="182"/>
      <c r="K9" s="182"/>
      <c r="L9" s="182"/>
      <c r="M9" s="182"/>
      <c r="N9" s="182"/>
      <c r="O9" s="182"/>
      <c r="P9" s="182"/>
      <c r="Q9" s="182"/>
      <c r="R9" s="61"/>
      <c r="S9" s="62">
        <f>IF(R9="",0,IF(R9='Grise - regneark'!B10,1,-1))</f>
        <v>0</v>
      </c>
      <c r="T9" s="57"/>
    </row>
    <row r="10" spans="1:28" ht="5.0999999999999996" customHeight="1" x14ac:dyDescent="0.25">
      <c r="A10" s="2"/>
      <c r="B10" s="60"/>
      <c r="C10" s="63"/>
      <c r="D10" s="63"/>
      <c r="E10" s="63"/>
      <c r="F10" s="63"/>
      <c r="G10" s="63"/>
      <c r="H10" s="63"/>
      <c r="I10" s="63"/>
      <c r="J10" s="63"/>
      <c r="K10" s="63"/>
      <c r="L10" s="63"/>
      <c r="M10" s="89"/>
      <c r="N10" s="89"/>
      <c r="O10" s="89"/>
      <c r="P10" s="89"/>
      <c r="Q10" s="89"/>
      <c r="R10" s="62"/>
      <c r="S10" s="62"/>
      <c r="T10" s="57"/>
    </row>
    <row r="11" spans="1:28" ht="12.75" customHeight="1" x14ac:dyDescent="0.25">
      <c r="A11" s="2"/>
      <c r="B11" s="60" t="s">
        <v>8</v>
      </c>
      <c r="C11" s="90" t="str">
        <f>IF(I11=0,"Spørgsmål om afgrænsning er ikke besvaret",IF(I11=1,"Projektet er omfattet af standardløsningen","Projektet er IKKE omfattet af standardløsningen"))</f>
        <v>Spørgsmål om afgrænsning er ikke besvaret</v>
      </c>
      <c r="D11" s="63"/>
      <c r="E11" s="63"/>
      <c r="F11" s="63"/>
      <c r="G11" s="63"/>
      <c r="H11" s="63"/>
      <c r="I11" s="62">
        <f>MIN(S8:S9)</f>
        <v>0</v>
      </c>
      <c r="J11" s="63"/>
      <c r="K11" s="63"/>
      <c r="L11" s="63"/>
      <c r="M11" s="89"/>
      <c r="N11" s="89"/>
      <c r="O11" s="89"/>
      <c r="P11" s="89"/>
      <c r="Q11" s="89"/>
      <c r="R11" s="89"/>
      <c r="S11" s="89"/>
      <c r="T11" s="57"/>
    </row>
    <row r="12" spans="1:28" ht="15.75" customHeight="1" x14ac:dyDescent="0.25">
      <c r="A12" s="50"/>
      <c r="B12" s="64"/>
      <c r="C12" s="56"/>
      <c r="D12" s="56"/>
      <c r="E12" s="56"/>
      <c r="F12" s="56"/>
      <c r="G12" s="56"/>
      <c r="H12" s="56"/>
      <c r="I12" s="56"/>
      <c r="J12" s="65"/>
      <c r="K12" s="50"/>
      <c r="L12" s="57"/>
      <c r="M12" s="57"/>
      <c r="N12" s="57"/>
      <c r="O12" s="57"/>
      <c r="P12" s="57"/>
      <c r="Q12" s="57"/>
      <c r="R12" s="57"/>
      <c r="S12" s="57"/>
      <c r="T12" s="57"/>
    </row>
    <row r="13" spans="1:28" s="69" customFormat="1" ht="18" customHeight="1" x14ac:dyDescent="0.25">
      <c r="A13" s="67"/>
      <c r="B13" s="264" t="s">
        <v>10</v>
      </c>
      <c r="C13" s="264"/>
      <c r="D13" s="264"/>
      <c r="E13" s="264"/>
      <c r="F13" s="264"/>
      <c r="G13" s="264"/>
      <c r="H13" s="264"/>
      <c r="I13" s="264"/>
      <c r="J13" s="264"/>
      <c r="K13" s="67"/>
      <c r="L13" s="68" t="s">
        <v>11</v>
      </c>
      <c r="M13" s="57"/>
      <c r="N13" s="57"/>
      <c r="O13" s="57"/>
      <c r="P13" s="57"/>
      <c r="Q13" s="57"/>
      <c r="R13" s="57"/>
      <c r="S13" s="57"/>
      <c r="T13" s="57"/>
      <c r="U13" s="66"/>
      <c r="V13" s="66"/>
      <c r="W13" s="66"/>
      <c r="X13" s="66"/>
      <c r="Y13" s="66"/>
      <c r="Z13" s="66"/>
      <c r="AA13" s="66"/>
      <c r="AB13" s="66"/>
    </row>
    <row r="14" spans="1:28" ht="18" x14ac:dyDescent="0.25">
      <c r="A14" s="50"/>
      <c r="B14" s="70"/>
      <c r="C14" s="71"/>
      <c r="D14" s="71"/>
      <c r="E14" s="71"/>
      <c r="F14" s="70"/>
      <c r="G14" s="70"/>
      <c r="H14" s="70"/>
      <c r="I14" s="70"/>
      <c r="J14" s="73"/>
      <c r="K14" s="50"/>
      <c r="L14" s="273" t="s">
        <v>105</v>
      </c>
      <c r="M14" s="273"/>
      <c r="N14" s="273"/>
      <c r="O14" s="175" t="str">
        <f>IF(I34="","",I34)</f>
        <v/>
      </c>
      <c r="P14" s="178"/>
      <c r="Q14" s="175" t="str">
        <f>IF(I25="Ja","Olie","")</f>
        <v/>
      </c>
      <c r="R14" s="178"/>
      <c r="S14" s="76"/>
      <c r="T14" s="57"/>
    </row>
    <row r="15" spans="1:28" ht="18" x14ac:dyDescent="0.25">
      <c r="A15" s="50"/>
      <c r="B15" s="72" t="s">
        <v>14</v>
      </c>
      <c r="C15" s="273" t="s">
        <v>109</v>
      </c>
      <c r="D15" s="273"/>
      <c r="E15" s="273"/>
      <c r="F15" s="273"/>
      <c r="G15" s="273"/>
      <c r="H15" s="274"/>
      <c r="I15" s="78"/>
      <c r="J15" s="73"/>
      <c r="K15" s="50"/>
      <c r="L15" s="273" t="s">
        <v>12</v>
      </c>
      <c r="M15" s="273"/>
      <c r="N15" s="273"/>
      <c r="O15" s="173" t="str">
        <f>IF(I38="","-",IF(AND(I25="Nej",I24="ja",I15="ÅRSRAPPORT"),G22/I38/1000,IF(AND(I25="Ja",I24="Ja",I15="ÅRSRAPPORT"),G22/I38/1000,IF(AND(I25="",I24="Ja",I15="ÅRSRAPPORT"),"-",IF(AND(I24="",I15="ÅRSRAPPORT"),"-",IF(AND(I24="Nej",I15="ÅRSRAPPORT"),(G22+G32)/I38/1000,IF(AND(I25="Nej",I24="ja",I15="CHR"),I22/I38/1000,IF(AND(I25="Ja",I24="Ja",I15="CHR"),I22/I38/1000,IF(AND(I25="",I24="Ja",I15="CHR"),"-",IF(AND(I24="",I15="CHR"),"-",IF(AND(I24="Nej",I15="CHR"),(I22+I32)/I38/1000,IF(OR(I15="",I15="Årsrapport",I15="CHR"),"-",""))))))))))))</f>
        <v>-</v>
      </c>
      <c r="P15" s="210" t="s">
        <v>13</v>
      </c>
      <c r="Q15" s="173" t="str">
        <f>IF(I24="Nej","",IF(I38="","-",IF(AND(I25="Nej",I24="ja",I15="ÅRSRAPPORT"),"-",IF(AND(I40="Varmepumpe",I25="Ja",I24="Ja",I15="ÅRSRAPPORT"),G32/1000,IF(AND(I25="",I24="Ja",I15="ÅRSRAPPORT"),"-",IF(AND(I24="",I15="ÅRSRAPPORT"),"-",IF(AND(I24="Nej",I15="ÅRSRAPPORT"),"-",IF(AND(I25="Nej",I24="ja",I15="CHR"),"-",IF(AND(I40="Varmepumpe",I25="Ja",I24="Ja",I15="CHR"),I32/1000,IF(AND(I25="",I24="Ja",I15="CHR"),"-",IF(AND(I24="",I15="CHR"),"-",IF(AND(I24="Nej",I15="CHR"),"-",IF(OR(I15="",I15="Årsrapport",I15="CHR"),"-","")))))))))))))</f>
        <v>-</v>
      </c>
      <c r="R15" s="210" t="s">
        <v>13</v>
      </c>
      <c r="S15" s="76"/>
      <c r="T15" s="57"/>
    </row>
    <row r="16" spans="1:28" ht="22.5" customHeight="1" x14ac:dyDescent="0.25">
      <c r="A16" s="50"/>
      <c r="B16" s="72"/>
      <c r="C16" s="121"/>
      <c r="D16" s="121"/>
      <c r="E16" s="121"/>
      <c r="F16" s="121"/>
      <c r="G16" s="121"/>
      <c r="H16" s="126"/>
      <c r="I16" s="126"/>
      <c r="J16" s="126"/>
      <c r="K16" s="50"/>
      <c r="L16" s="121"/>
      <c r="M16" s="79"/>
      <c r="N16" s="79"/>
      <c r="O16" s="75"/>
      <c r="P16" s="121"/>
      <c r="Q16" s="76"/>
      <c r="R16" s="76"/>
      <c r="S16" s="76"/>
      <c r="T16" s="51"/>
    </row>
    <row r="17" spans="1:22" ht="18" x14ac:dyDescent="0.25">
      <c r="A17" s="50"/>
      <c r="B17" s="72" t="s">
        <v>53</v>
      </c>
      <c r="C17" s="273" t="s">
        <v>110</v>
      </c>
      <c r="D17" s="273"/>
      <c r="E17" s="273"/>
      <c r="F17" s="273"/>
      <c r="G17" s="273"/>
      <c r="H17" s="273"/>
      <c r="I17" s="126"/>
      <c r="J17" s="73"/>
      <c r="K17" s="50"/>
      <c r="L17" s="282" t="s">
        <v>106</v>
      </c>
      <c r="M17" s="282"/>
      <c r="N17" s="282"/>
      <c r="O17" s="179" t="str">
        <f>IF(AND(I40="Varmepumpe"),"El",IF(AND(I40="Fjernvarme"),"Fjernvarme",IF(AND(I40="Brændselskedel"),"Ny brændselstype","")))</f>
        <v/>
      </c>
      <c r="P17" s="76"/>
      <c r="Q17" s="179" t="str">
        <f>IF(I24="Nej","",IF(AND(I40="Varmepumpe"),"El",IF(AND(I40="Fjernvarme"),"",IF(AND(I40="Brændselskedel"),"",""))))</f>
        <v/>
      </c>
      <c r="R17" s="76"/>
      <c r="S17" s="76"/>
      <c r="T17" s="51"/>
    </row>
    <row r="18" spans="1:22" ht="18" x14ac:dyDescent="0.25">
      <c r="A18" s="50"/>
      <c r="B18" s="70"/>
      <c r="C18" s="272" t="str">
        <f>IF(I15="","",IF(I15='Grise - regneark'!B13,"Type af grise","Type af grise"))</f>
        <v/>
      </c>
      <c r="D18" s="272"/>
      <c r="E18" s="265" t="str">
        <f>IF(I15="","",IF(I15='Grise - regneark'!B13,"Årlige antal","Antal"))</f>
        <v/>
      </c>
      <c r="F18" s="265"/>
      <c r="G18" s="265" t="str">
        <f>IF(I15="","",IF(I15='Grise - regneark'!B13,"Varmebehov[kWh]","Årlige antal"))</f>
        <v/>
      </c>
      <c r="H18" s="265"/>
      <c r="I18" s="165" t="str">
        <f>IF(I15="","",IF(I15='Grise - regneark'!C13,"Varmebehov[kWh]",""))</f>
        <v/>
      </c>
      <c r="J18" s="73"/>
      <c r="K18" s="50"/>
      <c r="L18" s="273" t="s">
        <v>15</v>
      </c>
      <c r="M18" s="273"/>
      <c r="N18" s="273"/>
      <c r="O18" s="173" t="str">
        <f>IF(AND(H44="",I41=""),"-",IF(I38="","-",IF(AND(I40="Brændselskedel"),O15*I38/H44,IF(AND(I40="Fjernvarme"),O15*I38*100%,IF(AND(I40="Varmepumpe"),O15*I38/I41,"-")))))</f>
        <v>-</v>
      </c>
      <c r="P18" s="76" t="s">
        <v>13</v>
      </c>
      <c r="Q18" s="173" t="str">
        <f>IF(I24="Nej","",IF(I38="","-",IF(AND(I40=""),"-",IF(AND(I40="Brændselskedel"),"-",IF(AND(I40="Fjernvarme"),"-",IF(AND(I40="Varmepumpe",I41=""),"-",Q15/I41))))))</f>
        <v>-</v>
      </c>
      <c r="R18" s="210" t="s">
        <v>13</v>
      </c>
      <c r="S18" s="76"/>
      <c r="T18" s="51"/>
    </row>
    <row r="19" spans="1:22" ht="18" x14ac:dyDescent="0.25">
      <c r="A19" s="50"/>
      <c r="B19" s="80"/>
      <c r="C19" s="266"/>
      <c r="D19" s="267"/>
      <c r="E19" s="266"/>
      <c r="F19" s="267"/>
      <c r="G19" s="269" t="b">
        <f>IF($I$15='Grise - regneark'!$B$13,IF(C19="","",IF(C19='Grise - regneark'!$B$16,E19*'Grise - regneark'!$T$20,IF(C19='Grise - regneark'!$C$16,E19*'Grise - regneark'!$T$22,IF(C19='Grise - regneark'!$D$16,E19*'Grise - regneark'!$T$24,"")))),IF($I$15='Grise - regneark'!$C$13,IF(C19="","",IF(C19='Grise - regneark'!$B$19,E19*'Grise - regneark'!$I$11,IF(C19='Grise - regneark'!$C$19,E19*'Grise - regneark'!$I$12,IF(C19='Grise - regneark'!$D$19,E19*'Grise - regneark'!$I$13,""))))))</f>
        <v>0</v>
      </c>
      <c r="H19" s="270"/>
      <c r="I19" s="70" t="b">
        <f>IF($I$15='Grise - regneark'!$C$13,IF(C19='Grise - regneark'!$B$19,G19*'Grise - regneark'!$T$21,IF(C19='Grise - regneark'!$C$19,G19*'Grise - regneark'!$T$23,IF(C19='Grise - regneark'!$D$19,G19*'Grise - regneark'!$T$25,""))))</f>
        <v>0</v>
      </c>
      <c r="J19" s="73"/>
      <c r="K19" s="50"/>
      <c r="L19" s="76"/>
      <c r="M19" s="76"/>
      <c r="N19" s="76"/>
      <c r="O19" s="76"/>
      <c r="P19" s="76"/>
      <c r="Q19" s="76"/>
      <c r="R19" s="76"/>
      <c r="S19" s="76"/>
      <c r="T19" s="51"/>
    </row>
    <row r="20" spans="1:22" ht="18.75" thickBot="1" x14ac:dyDescent="0.3">
      <c r="A20" s="50"/>
      <c r="B20" s="80"/>
      <c r="C20" s="266"/>
      <c r="D20" s="267"/>
      <c r="E20" s="266"/>
      <c r="F20" s="267"/>
      <c r="G20" s="269" t="b">
        <f>IF($I$15='Grise - regneark'!$B$13,IF(C20="","",IF(C20='Grise - regneark'!$B$16,E20*'Grise - regneark'!$T$20,IF(C20='Grise - regneark'!$C$16,E20*'Grise - regneark'!$T$22,IF(C20='Grise - regneark'!$D$16,E20*'Grise - regneark'!$T$24,"")))),IF($I$15='Grise - regneark'!$C$13,IF(C20="","",IF(C20='Grise - regneark'!$B$19,E20*'Grise - regneark'!$I$11,IF(C20='Grise - regneark'!$C$19,E20*'Grise - regneark'!$I$12,IF(C20='Grise - regneark'!$D$19,E20*'Grise - regneark'!$I$13,""))))))</f>
        <v>0</v>
      </c>
      <c r="H20" s="270"/>
      <c r="I20" s="122" t="b">
        <f>IF($I$15='Grise - regneark'!$C$13,IF(C20='Grise - regneark'!$B$19,G20*'Grise - regneark'!$T$21,IF(C20='Grise - regneark'!$C$19,G20*'Grise - regneark'!$T$23,IF(C20='Grise - regneark'!$D$19,G20*'Grise - regneark'!$T$25,""))))</f>
        <v>0</v>
      </c>
      <c r="J20" s="73"/>
      <c r="K20" s="50"/>
      <c r="L20" s="74" t="s">
        <v>16</v>
      </c>
      <c r="M20" s="79"/>
      <c r="N20" s="79"/>
      <c r="O20" s="174" t="str">
        <f>IF(O18="-","-",IF(AND(O15="-",O18="-"),"-",(O15-O18)/O15*100))</f>
        <v>-</v>
      </c>
      <c r="P20" s="74" t="s">
        <v>17</v>
      </c>
      <c r="Q20" s="174" t="str">
        <f>IF(Q18="-","-",IF(AND(Q15="-",Q18="-"),"-",(Q15-Q18)/Q15*100))</f>
        <v>-</v>
      </c>
      <c r="R20" s="209" t="s">
        <v>17</v>
      </c>
      <c r="S20" s="151"/>
      <c r="T20" s="51"/>
    </row>
    <row r="21" spans="1:22" ht="18.75" thickBot="1" x14ac:dyDescent="0.3">
      <c r="A21" s="50"/>
      <c r="B21" s="80"/>
      <c r="C21" s="266"/>
      <c r="D21" s="267"/>
      <c r="E21" s="266"/>
      <c r="F21" s="267"/>
      <c r="G21" s="269" t="b">
        <f>IF($I$15='Grise - regneark'!$B$13,IF(C21="","",IF(C21='Grise - regneark'!$B$16,E21*'Grise - regneark'!$T$20,IF(C21='Grise - regneark'!$C$16,E21*'Grise - regneark'!$T$22,IF(C21='Grise - regneark'!$D$16,E21*'Grise - regneark'!$T$24,"")))),IF($I$15='Grise - regneark'!$C$13,IF(C21="","",IF(C21='Grise - regneark'!$B$19,E21*'Grise - regneark'!$I$11,IF(C21='Grise - regneark'!$C$19,E21*'Grise - regneark'!$I$12,IF(C21='Grise - regneark'!$D$19,E21*'Grise - regneark'!$I$13,""))))))</f>
        <v>0</v>
      </c>
      <c r="H21" s="270"/>
      <c r="I21" s="122" t="b">
        <f>IF($I$15='Grise - regneark'!$C$13,IF(C21='Grise - regneark'!$B$19,G21*'Grise - regneark'!$T$21,IF(C21='Grise - regneark'!$C$19,G21*'Grise - regneark'!$T$23,IF(C21='Grise - regneark'!$D$19,G21*'Grise - regneark'!$T$25,""))))</f>
        <v>0</v>
      </c>
      <c r="J21" s="73"/>
      <c r="K21" s="50"/>
      <c r="L21" s="81" t="s">
        <v>18</v>
      </c>
      <c r="M21" s="82"/>
      <c r="N21" s="82"/>
      <c r="O21" s="176" t="str">
        <f>IF(O20="-","-",IF(AND(O15="-",O18="-"),"-",O15-O18))</f>
        <v>-</v>
      </c>
      <c r="P21" s="170" t="s">
        <v>13</v>
      </c>
      <c r="Q21" s="176" t="str">
        <f>IF(AND(Q15="-",Q18="-"),"-",Q15-Q18)</f>
        <v>-</v>
      </c>
      <c r="R21" s="177" t="s">
        <v>13</v>
      </c>
      <c r="S21" s="151"/>
      <c r="T21" s="51"/>
    </row>
    <row r="22" spans="1:22" ht="18" customHeight="1" x14ac:dyDescent="0.25">
      <c r="A22" s="50"/>
      <c r="B22" s="80"/>
      <c r="C22" s="77"/>
      <c r="D22" s="77"/>
      <c r="E22" s="272"/>
      <c r="F22" s="272"/>
      <c r="G22" s="287" t="str">
        <f>IF(I15='Grise - regneark'!B13,SUM('Grise - Varmeforbrug'!G19:H21),"")</f>
        <v/>
      </c>
      <c r="H22" s="287"/>
      <c r="I22" s="213" t="str">
        <f>IF(I15='Grise - regneark'!C13,SUM(I19:I21),"")</f>
        <v/>
      </c>
      <c r="J22" s="73"/>
      <c r="K22" s="50"/>
      <c r="L22" s="51"/>
      <c r="M22" s="51"/>
      <c r="N22" s="51"/>
      <c r="O22" s="51"/>
      <c r="P22" s="51"/>
      <c r="Q22" s="51"/>
      <c r="R22" s="51"/>
      <c r="S22" s="51"/>
      <c r="T22" s="51"/>
    </row>
    <row r="23" spans="1:22" ht="18" x14ac:dyDescent="0.25">
      <c r="A23" s="50"/>
      <c r="B23" s="80"/>
      <c r="C23" s="77"/>
      <c r="D23" s="77"/>
      <c r="E23" s="77"/>
      <c r="F23" s="70"/>
      <c r="G23" s="70"/>
      <c r="H23" s="70"/>
      <c r="I23" s="70"/>
      <c r="J23" s="73"/>
      <c r="K23" s="50"/>
      <c r="L23" s="83" t="s">
        <v>19</v>
      </c>
      <c r="M23" s="51"/>
      <c r="N23" s="51"/>
      <c r="O23" s="51"/>
      <c r="P23" s="51"/>
      <c r="Q23" s="51"/>
      <c r="R23" s="51"/>
      <c r="S23" s="51"/>
      <c r="T23" s="51"/>
    </row>
    <row r="24" spans="1:22" ht="18" x14ac:dyDescent="0.25">
      <c r="A24" s="50"/>
      <c r="B24" s="72" t="s">
        <v>20</v>
      </c>
      <c r="C24" s="273" t="s">
        <v>54</v>
      </c>
      <c r="D24" s="273"/>
      <c r="E24" s="273"/>
      <c r="F24" s="273"/>
      <c r="G24" s="273"/>
      <c r="H24" s="273"/>
      <c r="I24" s="125"/>
      <c r="J24" s="166" t="str">
        <f>IF(I24="","OK1",IF(I24="Ja","OK2",IF(I24="Nej","OK3","")))</f>
        <v>OK1</v>
      </c>
      <c r="K24" s="50"/>
      <c r="L24" s="73"/>
      <c r="M24" s="73"/>
      <c r="N24" s="73"/>
      <c r="O24" s="73"/>
      <c r="P24" s="73"/>
      <c r="Q24" s="73"/>
      <c r="R24" s="151"/>
      <c r="S24" s="151"/>
      <c r="T24" s="51"/>
      <c r="V24" s="172"/>
    </row>
    <row r="25" spans="1:22" ht="18" x14ac:dyDescent="0.25">
      <c r="A25" s="50"/>
      <c r="B25" s="72" t="s">
        <v>94</v>
      </c>
      <c r="C25" s="124" t="s">
        <v>104</v>
      </c>
      <c r="D25" s="124"/>
      <c r="E25" s="124"/>
      <c r="F25" s="124"/>
      <c r="G25" s="124"/>
      <c r="H25" s="124"/>
      <c r="I25" s="169"/>
      <c r="J25" s="166" t="str">
        <f>IF(I15="","",IF(I15="CHR",IF(I25="Ja","OK4",""),IF(I15="Årsrapport",IF(I25="Ja","OK5",""))))</f>
        <v/>
      </c>
      <c r="K25" s="50"/>
      <c r="L25" s="151"/>
      <c r="M25" s="151"/>
      <c r="N25" s="151"/>
      <c r="O25" s="151"/>
      <c r="P25" s="151"/>
      <c r="Q25" s="151"/>
      <c r="R25" s="151"/>
      <c r="S25" s="151"/>
      <c r="T25" s="51"/>
    </row>
    <row r="26" spans="1:22" ht="18" x14ac:dyDescent="0.25">
      <c r="A26" s="50"/>
      <c r="B26" s="72"/>
      <c r="C26" s="121"/>
      <c r="D26" s="121"/>
      <c r="E26" s="121"/>
      <c r="F26" s="121"/>
      <c r="G26" s="121"/>
      <c r="H26" s="121"/>
      <c r="I26" s="121"/>
      <c r="J26" s="73"/>
      <c r="K26" s="50"/>
      <c r="L26" s="73"/>
      <c r="M26" s="73"/>
      <c r="N26" s="73"/>
      <c r="O26" s="73"/>
      <c r="P26" s="73"/>
      <c r="Q26" s="73"/>
      <c r="R26" s="151"/>
      <c r="S26" s="151"/>
      <c r="T26" s="51"/>
    </row>
    <row r="27" spans="1:22" ht="26.85" customHeight="1" x14ac:dyDescent="0.25">
      <c r="A27" s="50"/>
      <c r="B27" s="72" t="str">
        <f>IF(I24="Ja",IF(I25="ja","3.2",""),IF(I24="nej","3.1",""))</f>
        <v/>
      </c>
      <c r="C27" s="80" t="str">
        <f>IF(I24="Ja",IF(I25="ja","Beregning af varmeforbrug til udtørring via olievarmekanon",""),IF(I24="nej","Beregning af varmeforbrug til udtørring via forsyningsanlæg",""))</f>
        <v/>
      </c>
      <c r="D27" s="80"/>
      <c r="E27" s="80"/>
      <c r="F27" s="80"/>
      <c r="G27" s="80"/>
      <c r="H27" s="80"/>
      <c r="I27" s="80"/>
      <c r="J27" s="73"/>
      <c r="K27" s="57"/>
      <c r="L27" s="151"/>
      <c r="M27" s="151"/>
      <c r="N27" s="151"/>
      <c r="O27" s="151"/>
      <c r="P27" s="151"/>
      <c r="Q27" s="151"/>
      <c r="R27" s="151"/>
      <c r="S27" s="151"/>
      <c r="T27" s="51"/>
    </row>
    <row r="28" spans="1:22" ht="23.85" customHeight="1" x14ac:dyDescent="0.25">
      <c r="A28" s="50"/>
      <c r="B28" s="70"/>
      <c r="C28" s="265" t="str">
        <f>IF(I24="Ja",IF(I25="Ja",C18,""),IF(I24="Ja","",IF(I24="Nej",C18,"")))</f>
        <v/>
      </c>
      <c r="D28" s="265"/>
      <c r="E28" s="265" t="str">
        <f>IF(I24="Ja",IF(I25="Ja",E18,""),IF(I24="Ja","",IF(I24="Nej",E18,"")))</f>
        <v/>
      </c>
      <c r="F28" s="265"/>
      <c r="G28" s="265" t="str">
        <f>IF(I24="Ja",IF(I25="Ja",G18,""),IF(I24="Ja","",IF(I24="Nej",G18,"")))</f>
        <v/>
      </c>
      <c r="H28" s="265"/>
      <c r="I28" s="163" t="str">
        <f>IF(I24="Ja",IF(I25="Ja",I18,""),IF(I24="Ja","",IF(I24="Nej",I18,"")))</f>
        <v/>
      </c>
      <c r="J28" s="163"/>
      <c r="K28" s="50"/>
      <c r="L28" s="73"/>
      <c r="M28" s="73"/>
      <c r="N28" s="73"/>
      <c r="O28" s="73"/>
      <c r="P28" s="73"/>
      <c r="Q28" s="73"/>
      <c r="R28" s="151"/>
      <c r="S28" s="151"/>
      <c r="T28" s="51"/>
    </row>
    <row r="29" spans="1:22" ht="18" x14ac:dyDescent="0.25">
      <c r="A29" s="50"/>
      <c r="B29" s="84"/>
      <c r="C29" s="275">
        <f>C19</f>
        <v>0</v>
      </c>
      <c r="D29" s="275"/>
      <c r="E29" s="275">
        <f>E19</f>
        <v>0</v>
      </c>
      <c r="F29" s="275"/>
      <c r="G29" s="269" t="b">
        <f>IF($I$15='Grise - regneark'!$B$13,IF(C29="","",IF(C29='Grise - regneark'!$B$16,E29*'Grise - regneark'!$T$32,IF(C29='Grise - regneark'!$C$16,E29*'Grise - regneark'!$T$34,IF(C29='Grise - regneark'!$D$16,E29*'Grise - regneark'!$T$36,"")))),IF($I$15='Grise - regneark'!$C$13,IF(C29="","",IF(C29='Grise - regneark'!$B$19,E29*'Grise - regneark'!$I$11,IF(C29='Grise - regneark'!$C$19,E29*'Grise - regneark'!$I$12,IF(C29='Grise - regneark'!$D$19,E29*'Grise - regneark'!$I$13,""))))))</f>
        <v>0</v>
      </c>
      <c r="H29" s="270"/>
      <c r="I29" s="164" t="b">
        <f>IF($I$15='Grise - regneark'!$C$13,IF(C29='Grise - regneark'!$B$19,G29*'Grise - regneark'!$T$33,IF(C29='Grise - regneark'!$C$19,G29*'Grise - regneark'!$T$35,IF(C29='Grise - regneark'!$D$19,G29*'Grise - regneark'!$T$37,""))))</f>
        <v>0</v>
      </c>
      <c r="J29" s="85"/>
      <c r="K29" s="67"/>
      <c r="L29" s="151"/>
      <c r="M29" s="151"/>
      <c r="N29" s="151"/>
      <c r="O29" s="151"/>
      <c r="P29" s="151"/>
      <c r="Q29" s="151"/>
      <c r="R29" s="151"/>
      <c r="S29" s="151"/>
      <c r="T29" s="51"/>
    </row>
    <row r="30" spans="1:22" ht="18" x14ac:dyDescent="0.25">
      <c r="A30" s="50"/>
      <c r="B30" s="70"/>
      <c r="C30" s="275">
        <f t="shared" ref="C30:C31" si="0">C20</f>
        <v>0</v>
      </c>
      <c r="D30" s="275"/>
      <c r="E30" s="275">
        <f t="shared" ref="E30:E31" si="1">E20</f>
        <v>0</v>
      </c>
      <c r="F30" s="275"/>
      <c r="G30" s="269" t="b">
        <f>IF($I$15='Grise - regneark'!$B$13,IF(C30="","",IF(C30='Grise - regneark'!$B$16,E30*'Grise - regneark'!$T$32,IF(C30='Grise - regneark'!$C$16,E30*'Grise - regneark'!$T$34,IF(C30='Grise - regneark'!$D$16,E30*'Grise - regneark'!$T$36,"")))),IF($I$15='Grise - regneark'!$C$13,IF(C30="","",IF(C30='Grise - regneark'!$B$19,E30*'Grise - regneark'!$I$11,IF(C30='Grise - regneark'!$C$19,E30*'Grise - regneark'!$I$12,IF(C30='Grise - regneark'!$D$19,E30*'Grise - regneark'!$I$13,""))))))</f>
        <v>0</v>
      </c>
      <c r="H30" s="270"/>
      <c r="I30" s="171" t="b">
        <f>IF($I$15='Grise - regneark'!$C$13,IF(C30='Grise - regneark'!$B$19,G30*'Grise - regneark'!$T$33,IF(C30='Grise - regneark'!$C$19,G30*'Grise - regneark'!$T$35,IF(C30='Grise - regneark'!$D$19,G30*'Grise - regneark'!$T$37,""))))</f>
        <v>0</v>
      </c>
      <c r="J30" s="85"/>
      <c r="K30" s="50"/>
      <c r="L30" s="73"/>
      <c r="M30" s="73"/>
      <c r="N30" s="73"/>
      <c r="O30" s="73"/>
      <c r="P30" s="73"/>
      <c r="Q30" s="73"/>
      <c r="R30" s="151"/>
      <c r="S30" s="151"/>
      <c r="T30" s="51"/>
    </row>
    <row r="31" spans="1:22" ht="18" x14ac:dyDescent="0.25">
      <c r="A31" s="50"/>
      <c r="B31" s="86"/>
      <c r="C31" s="275">
        <f t="shared" si="0"/>
        <v>0</v>
      </c>
      <c r="D31" s="275"/>
      <c r="E31" s="275">
        <f t="shared" si="1"/>
        <v>0</v>
      </c>
      <c r="F31" s="275"/>
      <c r="G31" s="269" t="b">
        <f>IF($I$15='Grise - regneark'!$B$13,IF(C31="","",IF(C31='Grise - regneark'!$B$16,E31*'Grise - regneark'!$T$32,IF(C31='Grise - regneark'!$C$16,E31*'Grise - regneark'!$T$34,IF(C31='Grise - regneark'!$D$16,E31*'Grise - regneark'!$T$36,"")))),IF($I$15='Grise - regneark'!$C$13,IF(C31="","",IF(C31='Grise - regneark'!$B$19,E31*'Grise - regneark'!$I$11,IF(C31='Grise - regneark'!$C$19,E31*'Grise - regneark'!$I$12,IF(C31='Grise - regneark'!$D$19,E31*'Grise - regneark'!$I$13,""))))))</f>
        <v>0</v>
      </c>
      <c r="H31" s="270"/>
      <c r="I31" s="171" t="b">
        <f>IF($I$15='Grise - regneark'!$C$13,IF(C31='Grise - regneark'!$B$19,G31*'Grise - regneark'!$T$33,IF(C31='Grise - regneark'!$C$19,G31*'Grise - regneark'!$T$35,IF(C31='Grise - regneark'!$D$19,G31*'Grise - regneark'!$T$37,""))))</f>
        <v>0</v>
      </c>
      <c r="J31" s="85"/>
      <c r="K31" s="50"/>
      <c r="L31" s="151"/>
      <c r="M31" s="151"/>
      <c r="N31" s="151"/>
      <c r="O31" s="151"/>
      <c r="P31" s="151"/>
      <c r="Q31" s="151"/>
      <c r="R31" s="151"/>
      <c r="S31" s="151"/>
      <c r="T31" s="51"/>
    </row>
    <row r="32" spans="1:22" ht="18" x14ac:dyDescent="0.25">
      <c r="A32" s="50"/>
      <c r="B32" s="70"/>
      <c r="C32" s="77"/>
      <c r="D32" s="77"/>
      <c r="E32" s="272"/>
      <c r="F32" s="272"/>
      <c r="G32" s="286" t="str">
        <f>IF(I15='Grise - regneark'!B13,SUM('Grise - Varmeforbrug'!G29:H31),"")</f>
        <v/>
      </c>
      <c r="H32" s="286"/>
      <c r="I32" s="214" t="str">
        <f>IF(I15='Grise - regneark'!C13,SUM(I29:I31),"")</f>
        <v/>
      </c>
      <c r="J32" s="85"/>
      <c r="K32" s="50"/>
      <c r="L32" s="73"/>
      <c r="M32" s="73"/>
      <c r="N32" s="73"/>
      <c r="O32" s="73"/>
      <c r="P32" s="73"/>
      <c r="Q32" s="73"/>
      <c r="R32" s="151"/>
      <c r="S32" s="151"/>
      <c r="T32" s="51"/>
    </row>
    <row r="33" spans="1:20" ht="18" x14ac:dyDescent="0.25">
      <c r="A33" s="50"/>
      <c r="B33" s="70"/>
      <c r="C33" s="121"/>
      <c r="D33" s="121"/>
      <c r="E33" s="121"/>
      <c r="F33" s="121"/>
      <c r="G33" s="124"/>
      <c r="H33" s="121"/>
      <c r="I33" s="71"/>
      <c r="J33" s="85"/>
      <c r="K33" s="50"/>
      <c r="L33" s="151"/>
      <c r="M33" s="151"/>
      <c r="N33" s="151"/>
      <c r="O33" s="151"/>
      <c r="P33" s="151"/>
      <c r="Q33" s="151"/>
      <c r="R33" s="151"/>
      <c r="S33" s="151"/>
      <c r="T33" s="51"/>
    </row>
    <row r="34" spans="1:20" ht="18" x14ac:dyDescent="0.25">
      <c r="A34" s="50"/>
      <c r="B34" s="152" t="s">
        <v>102</v>
      </c>
      <c r="C34" s="278" t="s">
        <v>111</v>
      </c>
      <c r="D34" s="278"/>
      <c r="E34" s="278"/>
      <c r="F34" s="151"/>
      <c r="G34" s="124"/>
      <c r="H34" s="124"/>
      <c r="I34" s="153"/>
      <c r="J34" s="85"/>
      <c r="K34" s="50"/>
      <c r="L34" s="73"/>
      <c r="M34" s="73"/>
      <c r="N34" s="73"/>
      <c r="O34" s="73"/>
      <c r="P34" s="73"/>
      <c r="Q34" s="73"/>
      <c r="R34" s="151"/>
      <c r="S34" s="151"/>
      <c r="T34" s="51"/>
    </row>
    <row r="35" spans="1:20" ht="18" x14ac:dyDescent="0.25">
      <c r="A35" s="50"/>
      <c r="B35" s="151"/>
      <c r="C35" s="151"/>
      <c r="D35" s="151"/>
      <c r="E35" s="151"/>
      <c r="F35" s="151"/>
      <c r="G35" s="151"/>
      <c r="H35" s="151"/>
      <c r="I35" s="151"/>
      <c r="J35" s="85"/>
      <c r="K35" s="50"/>
      <c r="L35" s="151"/>
      <c r="M35" s="151"/>
      <c r="N35" s="151"/>
      <c r="O35" s="151"/>
      <c r="P35" s="151"/>
      <c r="Q35" s="151"/>
      <c r="R35" s="151"/>
      <c r="S35" s="151"/>
      <c r="T35" s="51"/>
    </row>
    <row r="36" spans="1:20" ht="18" x14ac:dyDescent="0.25">
      <c r="A36" s="50"/>
      <c r="B36" s="152" t="s">
        <v>103</v>
      </c>
      <c r="C36" s="278" t="s">
        <v>112</v>
      </c>
      <c r="D36" s="278"/>
      <c r="E36" s="278"/>
      <c r="F36" s="278"/>
      <c r="G36" s="278"/>
      <c r="H36" s="278"/>
      <c r="I36" s="278"/>
      <c r="J36" s="71"/>
      <c r="K36" s="50"/>
      <c r="L36" s="73"/>
      <c r="M36" s="73"/>
      <c r="N36" s="73"/>
      <c r="O36" s="73"/>
      <c r="P36" s="73"/>
      <c r="Q36" s="73"/>
      <c r="R36" s="151"/>
      <c r="S36" s="151"/>
      <c r="T36" s="51"/>
    </row>
    <row r="37" spans="1:20" ht="21.75" customHeight="1" x14ac:dyDescent="0.25">
      <c r="A37" s="50"/>
      <c r="B37" s="151"/>
      <c r="C37" s="277" t="s">
        <v>101</v>
      </c>
      <c r="D37" s="277"/>
      <c r="E37" s="277" t="s">
        <v>90</v>
      </c>
      <c r="F37" s="277"/>
      <c r="G37" s="280" t="s">
        <v>92</v>
      </c>
      <c r="H37" s="280"/>
      <c r="I37" s="158" t="s">
        <v>93</v>
      </c>
      <c r="J37" s="71"/>
      <c r="K37" s="50"/>
      <c r="L37" s="151"/>
      <c r="M37" s="151"/>
      <c r="N37" s="151"/>
      <c r="O37" s="151"/>
      <c r="P37" s="151"/>
      <c r="Q37" s="151"/>
      <c r="R37" s="151"/>
      <c r="S37" s="151"/>
      <c r="T37" s="51"/>
    </row>
    <row r="38" spans="1:20" ht="18" x14ac:dyDescent="0.25">
      <c r="A38" s="50"/>
      <c r="B38" s="151"/>
      <c r="C38" s="276"/>
      <c r="D38" s="276"/>
      <c r="E38" s="276"/>
      <c r="F38" s="276"/>
      <c r="G38" s="279"/>
      <c r="H38" s="279"/>
      <c r="I38" s="245" t="str">
        <f>IF(OR(I34="",C38="",E38="",G38=""),"",IF('Grise - Virkningsgrader'!B14&lt;0.5,0.5,'Grise - Virkningsgrader'!B14))</f>
        <v/>
      </c>
      <c r="J38" s="71"/>
      <c r="K38" s="57"/>
      <c r="L38" s="73"/>
      <c r="M38" s="73"/>
      <c r="N38" s="73"/>
      <c r="O38" s="73"/>
      <c r="P38" s="73"/>
      <c r="Q38" s="73"/>
      <c r="R38" s="151"/>
      <c r="S38" s="151"/>
      <c r="T38" s="51"/>
    </row>
    <row r="39" spans="1:20" ht="18" x14ac:dyDescent="0.25">
      <c r="A39" s="57"/>
      <c r="B39" s="151"/>
      <c r="C39" s="151"/>
      <c r="D39" s="151"/>
      <c r="E39" s="151"/>
      <c r="F39" s="151"/>
      <c r="G39" s="151"/>
      <c r="H39" s="151"/>
      <c r="I39" s="151"/>
      <c r="J39" s="71"/>
      <c r="K39" s="57"/>
      <c r="L39" s="151"/>
      <c r="M39" s="151"/>
      <c r="N39" s="151"/>
      <c r="O39" s="151"/>
      <c r="P39" s="151"/>
      <c r="Q39" s="151"/>
      <c r="R39" s="151"/>
      <c r="S39" s="151"/>
      <c r="T39" s="51"/>
    </row>
    <row r="40" spans="1:20" ht="18" x14ac:dyDescent="0.25">
      <c r="A40" s="57"/>
      <c r="B40" s="152" t="s">
        <v>91</v>
      </c>
      <c r="C40" s="278" t="s">
        <v>113</v>
      </c>
      <c r="D40" s="278"/>
      <c r="E40" s="278"/>
      <c r="F40" s="278"/>
      <c r="G40" s="278"/>
      <c r="H40" s="283"/>
      <c r="I40" s="167"/>
      <c r="J40" s="71"/>
      <c r="K40" s="57"/>
      <c r="L40" s="73"/>
      <c r="M40" s="73"/>
      <c r="N40" s="73"/>
      <c r="O40" s="73"/>
      <c r="P40" s="73"/>
      <c r="Q40" s="73"/>
      <c r="R40" s="151"/>
      <c r="S40" s="151"/>
      <c r="T40" s="51"/>
    </row>
    <row r="41" spans="1:20" ht="18" customHeight="1" x14ac:dyDescent="0.25">
      <c r="A41" s="57"/>
      <c r="B41" s="152" t="str">
        <f>IF(I40='Grise - regneark'!B28,"6.1",IF(I40='Grise - regneark'!C28,"6.1",IF(I40='Grise - regneark'!D28,"6.1","")))</f>
        <v/>
      </c>
      <c r="C41" s="284" t="str">
        <f>IF(I40='Grise - regneark'!B28,"Beregning af ny brændselskedels årsvirkningsgrad",IF(I40='Grise - regneark'!C28,"Virkningsgrad",IF(I40='Grise - regneark'!D28,"Indtast SCOP","")))</f>
        <v/>
      </c>
      <c r="D41" s="284"/>
      <c r="E41" s="284"/>
      <c r="F41" s="284"/>
      <c r="G41" s="285"/>
      <c r="H41" s="167">
        <v>3.5</v>
      </c>
      <c r="I41" s="168">
        <f>IF(I40="Brændselskedel","",IF(I40="Fjernvarme",1,IF(H41="","",IF(I40='Grise - regneark'!C28,"100%",H41))))</f>
        <v>3.5</v>
      </c>
      <c r="J41" s="71"/>
      <c r="K41" s="57"/>
      <c r="L41" s="73"/>
      <c r="M41" s="73"/>
      <c r="N41" s="73"/>
      <c r="O41" s="73"/>
      <c r="P41" s="73"/>
      <c r="Q41" s="73"/>
      <c r="R41" s="151"/>
      <c r="S41" s="151"/>
      <c r="T41" s="51"/>
    </row>
    <row r="42" spans="1:20" s="162" customFormat="1" ht="4.5" customHeight="1" x14ac:dyDescent="0.25">
      <c r="A42" s="160"/>
      <c r="B42" s="157"/>
      <c r="C42" s="159"/>
      <c r="D42" s="159"/>
      <c r="E42" s="159"/>
      <c r="F42" s="159"/>
      <c r="G42" s="159"/>
      <c r="H42" s="159"/>
      <c r="I42" s="159"/>
      <c r="J42" s="161"/>
      <c r="K42" s="160"/>
      <c r="L42" s="151"/>
      <c r="M42" s="151"/>
      <c r="N42" s="151"/>
      <c r="O42" s="151"/>
      <c r="P42" s="151"/>
      <c r="Q42" s="151"/>
      <c r="R42" s="151"/>
      <c r="S42" s="151"/>
      <c r="T42" s="51"/>
    </row>
    <row r="43" spans="1:20" ht="18" x14ac:dyDescent="0.25">
      <c r="A43" s="57"/>
      <c r="B43" s="151"/>
      <c r="C43" s="280" t="s">
        <v>101</v>
      </c>
      <c r="D43" s="280"/>
      <c r="E43" s="280" t="s">
        <v>92</v>
      </c>
      <c r="F43" s="280"/>
      <c r="G43" s="280"/>
      <c r="H43" s="280" t="s">
        <v>93</v>
      </c>
      <c r="I43" s="280"/>
      <c r="J43" s="71"/>
      <c r="K43" s="51"/>
      <c r="L43" s="73"/>
      <c r="M43" s="73"/>
      <c r="N43" s="73"/>
      <c r="O43" s="73"/>
      <c r="P43" s="73"/>
      <c r="Q43" s="73"/>
      <c r="R43" s="151"/>
      <c r="S43" s="151"/>
      <c r="T43" s="51"/>
    </row>
    <row r="44" spans="1:20" ht="18" x14ac:dyDescent="0.25">
      <c r="A44" s="57"/>
      <c r="B44" s="151"/>
      <c r="C44" s="276"/>
      <c r="D44" s="276"/>
      <c r="E44" s="279"/>
      <c r="F44" s="279"/>
      <c r="G44" s="279"/>
      <c r="H44" s="281" t="str">
        <f>IF(OR(I40="Fjernvarme",I40="Varmepumpe"),"",IF(C44="","",IF(E44="","",IF('Grise - Virkningsgrader'!B20&lt;0.5,0.5,'Grise - Virkningsgrader'!B20))))</f>
        <v/>
      </c>
      <c r="I44" s="281"/>
      <c r="J44" s="71"/>
      <c r="K44" s="51"/>
      <c r="L44" s="73"/>
      <c r="M44" s="73"/>
      <c r="N44" s="73"/>
      <c r="O44" s="73"/>
      <c r="P44" s="73"/>
      <c r="Q44" s="73"/>
      <c r="R44" s="151"/>
      <c r="S44" s="151"/>
      <c r="T44" s="51"/>
    </row>
    <row r="45" spans="1:20" ht="12.75" customHeight="1" x14ac:dyDescent="0.25">
      <c r="A45" s="57"/>
      <c r="B45" s="151"/>
      <c r="C45" s="151"/>
      <c r="D45" s="151"/>
      <c r="E45" s="151"/>
      <c r="F45" s="151"/>
      <c r="G45" s="151"/>
      <c r="H45" s="151"/>
      <c r="I45" s="151"/>
      <c r="J45" s="71"/>
      <c r="K45" s="51"/>
      <c r="L45" s="73"/>
      <c r="M45" s="73"/>
      <c r="N45" s="73"/>
      <c r="O45" s="73"/>
      <c r="P45" s="73"/>
      <c r="Q45" s="73"/>
      <c r="R45" s="151"/>
      <c r="S45" s="151"/>
      <c r="T45" s="51"/>
    </row>
    <row r="46" spans="1:20" ht="12.75" customHeight="1" x14ac:dyDescent="0.25">
      <c r="A46" s="51"/>
      <c r="B46" s="51"/>
      <c r="C46" s="51"/>
      <c r="D46" s="51"/>
      <c r="E46" s="51"/>
      <c r="F46" s="51"/>
      <c r="G46" s="51"/>
      <c r="H46" s="51"/>
      <c r="I46" s="51"/>
      <c r="J46" s="51"/>
      <c r="K46" s="51"/>
      <c r="L46" s="51"/>
      <c r="M46" s="51"/>
      <c r="N46" s="51"/>
      <c r="O46" s="51"/>
      <c r="P46" s="51"/>
      <c r="Q46" s="51"/>
      <c r="R46" s="51"/>
      <c r="S46" s="51"/>
      <c r="T46" s="51"/>
    </row>
    <row r="47" spans="1:20" ht="12.75" customHeight="1" x14ac:dyDescent="0.15">
      <c r="F47" s="87"/>
      <c r="G47" s="87"/>
      <c r="H47" s="87"/>
      <c r="I47" s="87"/>
      <c r="J47" s="87"/>
      <c r="K47" s="87"/>
      <c r="L47" s="87"/>
      <c r="M47" s="87"/>
      <c r="N47" s="87"/>
      <c r="O47" s="87"/>
      <c r="P47" s="87"/>
      <c r="Q47" s="87"/>
      <c r="R47" s="87"/>
    </row>
    <row r="48" spans="1:20" ht="12.75" customHeight="1" x14ac:dyDescent="0.15">
      <c r="F48" s="87"/>
      <c r="G48" s="87"/>
      <c r="H48" s="87"/>
      <c r="I48" s="87"/>
      <c r="J48" s="87"/>
      <c r="K48" s="87"/>
      <c r="L48" s="87"/>
      <c r="M48" s="87"/>
      <c r="N48" s="87"/>
      <c r="O48" s="87"/>
      <c r="P48" s="87"/>
      <c r="Q48" s="87"/>
      <c r="R48" s="87"/>
    </row>
    <row r="49" spans="6:18" ht="12.75" customHeight="1" x14ac:dyDescent="0.15">
      <c r="F49" s="87"/>
      <c r="G49" s="87"/>
      <c r="H49" s="87"/>
      <c r="I49" s="87"/>
      <c r="J49" s="87"/>
      <c r="K49" s="87"/>
      <c r="L49" s="87"/>
      <c r="M49" s="87"/>
      <c r="N49" s="87"/>
      <c r="O49" s="87"/>
      <c r="P49" s="87"/>
      <c r="Q49" s="87"/>
      <c r="R49" s="87"/>
    </row>
    <row r="50" spans="6:18" ht="12.75" customHeight="1" x14ac:dyDescent="0.15">
      <c r="F50" s="87"/>
      <c r="G50" s="87"/>
      <c r="H50" s="87"/>
      <c r="I50" s="87"/>
      <c r="J50" s="87"/>
      <c r="K50" s="87"/>
      <c r="L50" s="87"/>
      <c r="M50" s="87"/>
      <c r="N50" s="87"/>
      <c r="O50" s="87"/>
      <c r="P50" s="87"/>
      <c r="Q50" s="87"/>
      <c r="R50" s="87"/>
    </row>
    <row r="51" spans="6:18" ht="12.75" customHeight="1" x14ac:dyDescent="0.15">
      <c r="F51" s="87"/>
      <c r="G51" s="87"/>
      <c r="H51" s="87"/>
      <c r="I51" s="87"/>
      <c r="J51" s="87"/>
      <c r="K51" s="87"/>
      <c r="L51" s="87"/>
      <c r="M51" s="87"/>
      <c r="N51" s="87"/>
      <c r="O51" s="87"/>
      <c r="P51" s="87"/>
      <c r="Q51" s="87"/>
      <c r="R51" s="87"/>
    </row>
    <row r="52" spans="6:18" ht="12.75" customHeight="1" x14ac:dyDescent="0.15">
      <c r="F52" s="87"/>
      <c r="G52" s="87"/>
      <c r="H52" s="87"/>
      <c r="I52" s="87"/>
      <c r="J52" s="87"/>
      <c r="K52" s="87"/>
      <c r="L52" s="87"/>
      <c r="M52" s="87"/>
      <c r="N52" s="87"/>
      <c r="O52" s="87"/>
      <c r="P52" s="87"/>
      <c r="Q52" s="87"/>
      <c r="R52" s="87"/>
    </row>
    <row r="53" spans="6:18" ht="12.75" customHeight="1" x14ac:dyDescent="0.15">
      <c r="F53" s="87"/>
      <c r="G53" s="87"/>
      <c r="H53" s="87"/>
      <c r="I53" s="87"/>
      <c r="J53" s="87"/>
      <c r="K53" s="87"/>
      <c r="L53" s="87"/>
      <c r="M53" s="87"/>
      <c r="N53" s="87"/>
      <c r="O53" s="87"/>
      <c r="P53" s="87"/>
      <c r="Q53" s="87"/>
      <c r="R53" s="87"/>
    </row>
    <row r="54" spans="6:18" ht="12.75" customHeight="1" x14ac:dyDescent="0.15">
      <c r="F54" s="87"/>
      <c r="G54" s="87"/>
      <c r="H54" s="87"/>
      <c r="I54" s="87"/>
      <c r="J54" s="87"/>
      <c r="K54" s="87"/>
      <c r="L54" s="87"/>
      <c r="M54" s="87"/>
      <c r="N54" s="87"/>
      <c r="O54" s="87"/>
      <c r="P54" s="87"/>
      <c r="Q54" s="87"/>
      <c r="R54" s="87"/>
    </row>
    <row r="55" spans="6:18" ht="12.75" customHeight="1" x14ac:dyDescent="0.15">
      <c r="F55" s="87"/>
      <c r="G55" s="87"/>
      <c r="H55" s="87"/>
      <c r="I55" s="87"/>
      <c r="J55" s="87"/>
      <c r="K55" s="87"/>
      <c r="L55" s="87"/>
      <c r="M55" s="87"/>
      <c r="N55" s="87"/>
      <c r="O55" s="87"/>
      <c r="P55" s="87"/>
      <c r="Q55" s="87"/>
      <c r="R55" s="87"/>
    </row>
    <row r="56" spans="6:18" ht="12.75" customHeight="1" x14ac:dyDescent="0.15">
      <c r="F56" s="87"/>
      <c r="G56" s="87"/>
      <c r="H56" s="87"/>
      <c r="I56" s="87"/>
      <c r="J56" s="87"/>
      <c r="K56" s="87"/>
      <c r="L56" s="87"/>
      <c r="M56" s="87"/>
      <c r="N56" s="87"/>
      <c r="O56" s="87"/>
      <c r="P56" s="87"/>
      <c r="Q56" s="87"/>
      <c r="R56" s="87"/>
    </row>
    <row r="57" spans="6:18" ht="12.75" customHeight="1" x14ac:dyDescent="0.15">
      <c r="F57" s="87"/>
      <c r="G57" s="87"/>
      <c r="H57" s="87"/>
      <c r="I57" s="87"/>
      <c r="J57" s="87"/>
      <c r="K57" s="87"/>
      <c r="L57" s="87"/>
      <c r="M57" s="87"/>
      <c r="N57" s="87"/>
      <c r="O57" s="87"/>
      <c r="P57" s="87"/>
      <c r="Q57" s="87"/>
      <c r="R57" s="87"/>
    </row>
    <row r="58" spans="6:18" ht="12.75" customHeight="1" x14ac:dyDescent="0.15">
      <c r="F58" s="87"/>
      <c r="G58" s="87"/>
      <c r="H58" s="87"/>
      <c r="I58" s="87"/>
      <c r="J58" s="87"/>
      <c r="K58" s="87"/>
      <c r="L58" s="87"/>
      <c r="M58" s="87"/>
      <c r="N58" s="87"/>
      <c r="O58" s="87"/>
      <c r="P58" s="87"/>
      <c r="Q58" s="87"/>
      <c r="R58" s="87"/>
    </row>
  </sheetData>
  <sheetProtection algorithmName="SHA-512" hashValue="BpgmA81OCZ/wvXf2mDiQNfKH8gzuPoV/j+IaaqaKGfR3qTt6WTTZbstNdB+RYbaR5YeVixbdmcZ0ifSHk/8dKg==" saltValue="FFjXqmLTvCa3uFaaas3nvA==" spinCount="100000" sheet="1"/>
  <protectedRanges>
    <protectedRange sqref="H41" name="Område7"/>
    <protectedRange sqref="C44:G44" name="Område3"/>
    <protectedRange sqref="C19:F21" name="Område1"/>
    <protectedRange sqref="C38:H38" name="Område2"/>
    <protectedRange sqref="I24:I25" name="Område4"/>
    <protectedRange sqref="I34" name="Område5"/>
    <protectedRange sqref="I40" name="Område6"/>
  </protectedRanges>
  <mergeCells count="56">
    <mergeCell ref="L14:N14"/>
    <mergeCell ref="L15:N15"/>
    <mergeCell ref="L18:N18"/>
    <mergeCell ref="L17:N17"/>
    <mergeCell ref="H43:I43"/>
    <mergeCell ref="C40:H40"/>
    <mergeCell ref="C41:G41"/>
    <mergeCell ref="C31:D31"/>
    <mergeCell ref="E31:F31"/>
    <mergeCell ref="G31:H31"/>
    <mergeCell ref="E32:F32"/>
    <mergeCell ref="G32:H32"/>
    <mergeCell ref="C34:E34"/>
    <mergeCell ref="G20:H20"/>
    <mergeCell ref="G21:H21"/>
    <mergeCell ref="G22:H22"/>
    <mergeCell ref="H44:I44"/>
    <mergeCell ref="C43:D43"/>
    <mergeCell ref="E43:G43"/>
    <mergeCell ref="E44:G44"/>
    <mergeCell ref="C44:D44"/>
    <mergeCell ref="C24:H24"/>
    <mergeCell ref="C29:D29"/>
    <mergeCell ref="E29:F29"/>
    <mergeCell ref="G29:H29"/>
    <mergeCell ref="C20:D20"/>
    <mergeCell ref="C21:D21"/>
    <mergeCell ref="E20:F20"/>
    <mergeCell ref="E21:F21"/>
    <mergeCell ref="E22:F22"/>
    <mergeCell ref="C30:D30"/>
    <mergeCell ref="E30:F30"/>
    <mergeCell ref="G30:H30"/>
    <mergeCell ref="C38:D38"/>
    <mergeCell ref="C37:D37"/>
    <mergeCell ref="C36:I36"/>
    <mergeCell ref="G38:H38"/>
    <mergeCell ref="E38:F38"/>
    <mergeCell ref="G37:H37"/>
    <mergeCell ref="E37:F37"/>
    <mergeCell ref="B2:I3"/>
    <mergeCell ref="K2:P3"/>
    <mergeCell ref="C28:D28"/>
    <mergeCell ref="E28:F28"/>
    <mergeCell ref="G28:H28"/>
    <mergeCell ref="E19:F19"/>
    <mergeCell ref="C8:M8"/>
    <mergeCell ref="G19:H19"/>
    <mergeCell ref="B6:M7"/>
    <mergeCell ref="B13:J13"/>
    <mergeCell ref="C18:D18"/>
    <mergeCell ref="C17:H17"/>
    <mergeCell ref="E18:F18"/>
    <mergeCell ref="C15:H15"/>
    <mergeCell ref="G18:H18"/>
    <mergeCell ref="C19:D19"/>
  </mergeCells>
  <conditionalFormatting sqref="C19:H21">
    <cfRule type="expression" dxfId="123" priority="336">
      <formula>$I$15=""</formula>
    </cfRule>
  </conditionalFormatting>
  <conditionalFormatting sqref="C18:H18">
    <cfRule type="expression" dxfId="122" priority="335">
      <formula>$I$15=""</formula>
    </cfRule>
  </conditionalFormatting>
  <conditionalFormatting sqref="G19:H21">
    <cfRule type="expression" dxfId="121" priority="322">
      <formula>$I$15=""</formula>
    </cfRule>
  </conditionalFormatting>
  <conditionalFormatting sqref="C19:F21">
    <cfRule type="expression" dxfId="120" priority="327">
      <formula>$I$15=""</formula>
    </cfRule>
  </conditionalFormatting>
  <conditionalFormatting sqref="G19:H21">
    <cfRule type="expression" dxfId="119" priority="324">
      <formula>$G$20:$H$21=0</formula>
    </cfRule>
  </conditionalFormatting>
  <conditionalFormatting sqref="G21:H21">
    <cfRule type="expression" dxfId="118" priority="323">
      <formula>$G$21=0</formula>
    </cfRule>
  </conditionalFormatting>
  <conditionalFormatting sqref="C19:H22">
    <cfRule type="expression" dxfId="117" priority="320">
      <formula>$I$15=""</formula>
    </cfRule>
  </conditionalFormatting>
  <conditionalFormatting sqref="I19:I21">
    <cfRule type="expression" dxfId="116" priority="293">
      <formula>$I$15=""</formula>
    </cfRule>
  </conditionalFormatting>
  <conditionalFormatting sqref="C43:C44 E43:E44 H43:H44">
    <cfRule type="expression" dxfId="115" priority="369">
      <formula>$I$40=""</formula>
    </cfRule>
  </conditionalFormatting>
  <conditionalFormatting sqref="I25">
    <cfRule type="expression" dxfId="114" priority="243">
      <formula>$I$24=""</formula>
    </cfRule>
  </conditionalFormatting>
  <conditionalFormatting sqref="B25:H25">
    <cfRule type="expression" dxfId="113" priority="244">
      <formula>$I$24=""</formula>
    </cfRule>
  </conditionalFormatting>
  <conditionalFormatting sqref="I41">
    <cfRule type="expression" dxfId="112" priority="125">
      <formula>$I$40=""</formula>
    </cfRule>
  </conditionalFormatting>
  <conditionalFormatting sqref="C43:I44">
    <cfRule type="expression" dxfId="111" priority="126">
      <formula>$I$40=""</formula>
    </cfRule>
  </conditionalFormatting>
  <conditionalFormatting sqref="C28:J28">
    <cfRule type="expression" dxfId="110" priority="223">
      <formula>$I$24=""</formula>
    </cfRule>
  </conditionalFormatting>
  <conditionalFormatting sqref="H41">
    <cfRule type="expression" dxfId="109" priority="121">
      <formula>$I$40=""</formula>
    </cfRule>
  </conditionalFormatting>
  <conditionalFormatting sqref="G29:H31">
    <cfRule type="expression" dxfId="108" priority="37">
      <formula>$I$15=""</formula>
    </cfRule>
  </conditionalFormatting>
  <conditionalFormatting sqref="C29:H31">
    <cfRule type="expression" dxfId="107" priority="41">
      <formula>$I$15=""</formula>
    </cfRule>
  </conditionalFormatting>
  <conditionalFormatting sqref="C29:F31">
    <cfRule type="expression" dxfId="106" priority="40">
      <formula>$I$15=""</formula>
    </cfRule>
  </conditionalFormatting>
  <conditionalFormatting sqref="G29:H31">
    <cfRule type="expression" dxfId="105" priority="39">
      <formula>$G$20:$H$21=0</formula>
    </cfRule>
  </conditionalFormatting>
  <conditionalFormatting sqref="G31:H31">
    <cfRule type="expression" dxfId="104" priority="38">
      <formula>$G$21=0</formula>
    </cfRule>
  </conditionalFormatting>
  <conditionalFormatting sqref="C29:H32">
    <cfRule type="expression" dxfId="103" priority="36">
      <formula>$I$15=""</formula>
    </cfRule>
  </conditionalFormatting>
  <conditionalFormatting sqref="I29:I31">
    <cfRule type="expression" dxfId="102" priority="18">
      <formula>$J$25="OK5"</formula>
    </cfRule>
    <cfRule type="expression" dxfId="101" priority="25">
      <formula>$I$15=""</formula>
    </cfRule>
  </conditionalFormatting>
  <conditionalFormatting sqref="G32:H32">
    <cfRule type="expression" dxfId="100" priority="19">
      <formula>$J$25="OK5"</formula>
    </cfRule>
  </conditionalFormatting>
  <conditionalFormatting sqref="I32">
    <cfRule type="expression" dxfId="99" priority="20">
      <formula>$J$25="OK4"</formula>
    </cfRule>
  </conditionalFormatting>
  <conditionalFormatting sqref="C29:I32">
    <cfRule type="expression" dxfId="98" priority="23">
      <formula>$J$24="OK2"</formula>
    </cfRule>
    <cfRule type="expression" dxfId="97" priority="24">
      <formula>$J$24="OK1"</formula>
    </cfRule>
  </conditionalFormatting>
  <conditionalFormatting sqref="C29:I31">
    <cfRule type="expression" dxfId="96" priority="21">
      <formula>$J$25="OK4"</formula>
    </cfRule>
    <cfRule type="expression" dxfId="95" priority="22">
      <formula>$J$25="OK5"</formula>
    </cfRule>
  </conditionalFormatting>
  <conditionalFormatting sqref="Q14:R14">
    <cfRule type="expression" dxfId="94" priority="14">
      <formula>$I$25="Nej"</formula>
    </cfRule>
    <cfRule type="expression" dxfId="93" priority="17">
      <formula>$I$24="Nej"</formula>
    </cfRule>
  </conditionalFormatting>
  <conditionalFormatting sqref="Q14:S14 Q16:S17 Q15 S15 Q19:S19 Q18 S18 Q20 S20">
    <cfRule type="expression" dxfId="92" priority="13">
      <formula>$I$25=""</formula>
    </cfRule>
  </conditionalFormatting>
  <conditionalFormatting sqref="Q21:R21">
    <cfRule type="expression" dxfId="91" priority="12">
      <formula>$I$25="Nej"</formula>
    </cfRule>
  </conditionalFormatting>
  <conditionalFormatting sqref="R21:S21">
    <cfRule type="expression" dxfId="90" priority="11">
      <formula>$I$25=""</formula>
    </cfRule>
  </conditionalFormatting>
  <conditionalFormatting sqref="Q21">
    <cfRule type="expression" dxfId="89" priority="5">
      <formula>$I$24="Nej"</formula>
    </cfRule>
    <cfRule type="expression" dxfId="88" priority="10">
      <formula>$I$25=""</formula>
    </cfRule>
  </conditionalFormatting>
  <conditionalFormatting sqref="Q14:R14 Q16:R17 Q15 Q19:R19 Q18 Q20">
    <cfRule type="expression" dxfId="87" priority="9">
      <formula>$J$24="Nej"</formula>
    </cfRule>
  </conditionalFormatting>
  <conditionalFormatting sqref="R21">
    <cfRule type="expression" dxfId="86" priority="6">
      <formula>$I$24="Nej"</formula>
    </cfRule>
    <cfRule type="expression" dxfId="85" priority="8">
      <formula>$I$25="Nej"</formula>
    </cfRule>
  </conditionalFormatting>
  <conditionalFormatting sqref="Q15:Q20">
    <cfRule type="expression" dxfId="84" priority="7">
      <formula>$I$25="Nej"</formula>
    </cfRule>
  </conditionalFormatting>
  <conditionalFormatting sqref="R15:R20">
    <cfRule type="expression" dxfId="83" priority="2">
      <formula>$I$24="Nej"</formula>
    </cfRule>
    <cfRule type="expression" dxfId="82" priority="3">
      <formula>$I$25="Nej"</formula>
    </cfRule>
    <cfRule type="expression" dxfId="81" priority="4">
      <formula>$I$25=""</formula>
    </cfRule>
  </conditionalFormatting>
  <conditionalFormatting sqref="Q20">
    <cfRule type="expression" dxfId="80" priority="1">
      <formula>$I$24="Nej"</formula>
    </cfRule>
  </conditionalFormatting>
  <dataValidations count="6">
    <dataValidation allowBlank="1" showErrorMessage="1" prompt="Her indtastes de antal timer pr. døgn, hvor der normalt er behov for belysning, f.eks. normal kontortid, åbningstid, produktionstid osv. Hvis ingen brugstid, så skal felter være blanke." sqref="B31"/>
    <dataValidation type="whole" allowBlank="1" showInputMessage="1" showErrorMessage="1" sqref="B29">
      <formula1>0</formula1>
      <formula2>10000</formula2>
    </dataValidation>
    <dataValidation allowBlank="1" showErrorMessage="1" prompt="Her indtastes optælling af specifikke samlede antal lyskilder, og ikke antal lamper/lysarmaturer. Hvis der f.eks, er to, tre eller fire lyskilder i en lampe/lysaramtur, så skal der optælles hhv. to, tre eller fire lyskilder." sqref="F14:I14 F23:I23 I18:I22 G22 G32 I29:I32"/>
    <dataValidation allowBlank="1" showErrorMessage="1" sqref="C15:C17"/>
    <dataValidation type="decimal" allowBlank="1" showInputMessage="1" showErrorMessage="1" errorTitle="Fejl i indtastning" error="Normvirkningsgraden kan maksmimalt være 103 %." sqref="G38:H38">
      <formula1>0</formula1>
      <formula2>1.03</formula2>
    </dataValidation>
    <dataValidation type="decimal" allowBlank="1" showInputMessage="1" showErrorMessage="1" sqref="E44:G44">
      <formula1>0.5</formula1>
      <formula2>1.03</formula2>
    </dataValidation>
  </dataValidations>
  <pageMargins left="0.7" right="0.7" top="0.75" bottom="0.75" header="0.3" footer="0.3"/>
  <pageSetup paperSize="9" orientation="portrait" r:id="rId1"/>
  <ignoredErrors>
    <ignoredError sqref="Q20:Q21" evalError="1"/>
  </ignoredErrors>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14</xdr:col>
                <xdr:colOff>85725</xdr:colOff>
                <xdr:row>35</xdr:row>
                <xdr:rowOff>95250</xdr:rowOff>
              </from>
              <to>
                <xdr:col>15</xdr:col>
                <xdr:colOff>457200</xdr:colOff>
                <xdr:row>39</xdr:row>
                <xdr:rowOff>228600</xdr:rowOff>
              </to>
            </anchor>
          </objectPr>
        </oleObject>
      </mc:Choice>
      <mc:Fallback>
        <oleObject progId="AcroExch.Document.DC" dvAspect="DVASPECT_ICON" shapeId="3073"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02" id="{DAD36C36-98A9-46ED-A53C-C320E1DA54AF}">
            <xm:f>$I$15='Grise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17" id="{50B21261-1EB1-4561-A18A-4D00DB7A30A4}">
            <xm:f>$I$15='Grise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18" id="{6E26E188-A8FE-4C31-A2CF-6FFBBA0FE627}">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19" id="{57F7DAAD-0FD9-40B5-B7A4-38FA92F2144D}">
            <xm:f>$I$15='Grise - regneark'!$B$13</xm:f>
            <x14:dxf/>
          </x14:cfRule>
          <xm:sqref>G19:H21</xm:sqref>
        </x14:conditionalFormatting>
        <x14:conditionalFormatting xmlns:xm="http://schemas.microsoft.com/office/excel/2006/main">
          <x14:cfRule type="iconSet" priority="340" id="{0EDF8E39-D656-4F99-9D08-49F0B703A0D5}">
            <x14:iconSet iconSet="3Symbols2" custom="1">
              <x14:cfvo type="percent">
                <xm:f>0</xm:f>
              </x14:cfvo>
              <x14:cfvo type="num">
                <xm:f>-0.5</xm:f>
              </x14:cfvo>
              <x14:cfvo type="num">
                <xm:f>0.5</xm:f>
              </x14:cfvo>
              <x14:cfIcon iconSet="3Symbols2" iconId="0"/>
              <x14:cfIcon iconSet="3Symbols2" iconId="1"/>
              <x14:cfIcon iconSet="3Symbols2" iconId="2"/>
            </x14:iconSet>
          </x14:cfRule>
          <xm:sqref>J12</xm:sqref>
        </x14:conditionalFormatting>
        <x14:conditionalFormatting xmlns:xm="http://schemas.microsoft.com/office/excel/2006/main">
          <x14:cfRule type="iconSet" priority="341" id="{73343292-DFEB-4B8B-A78E-0378A6341E76}">
            <x14:iconSet iconSet="3Symbols2" custom="1">
              <x14:cfvo type="percent">
                <xm:f>0</xm:f>
              </x14:cfvo>
              <x14:cfvo type="num">
                <xm:f>-0.5</xm:f>
              </x14:cfvo>
              <x14:cfvo type="num">
                <xm:f>0.5</xm:f>
              </x14:cfvo>
              <x14:cfIcon iconSet="3Symbols2" iconId="0"/>
              <x14:cfIcon iconSet="3Symbols2" iconId="1"/>
              <x14:cfIcon iconSet="3Symbols2" iconId="2"/>
            </x14:iconSet>
          </x14:cfRule>
          <xm:sqref>R10 S8:S10</xm:sqref>
        </x14:conditionalFormatting>
        <x14:conditionalFormatting xmlns:xm="http://schemas.microsoft.com/office/excel/2006/main">
          <x14:cfRule type="iconSet" priority="337" id="{231BE0B6-7F17-471E-BA82-1E49C97515B6}">
            <x14:iconSet iconSet="3Symbols2" custom="1">
              <x14:cfvo type="percent">
                <xm:f>0</xm:f>
              </x14:cfvo>
              <x14:cfvo type="num">
                <xm:f>-0.5</xm:f>
              </x14:cfvo>
              <x14:cfvo type="num">
                <xm:f>0.5</xm:f>
              </x14:cfvo>
              <x14:cfIcon iconSet="3Symbols2" iconId="0"/>
              <x14:cfIcon iconSet="3Symbols2" iconId="1"/>
              <x14:cfIcon iconSet="3Symbols2" iconId="2"/>
            </x14:iconSet>
          </x14:cfRule>
          <xm:sqref>I11</xm:sqref>
        </x14:conditionalFormatting>
        <x14:conditionalFormatting xmlns:xm="http://schemas.microsoft.com/office/excel/2006/main">
          <x14:cfRule type="expression" priority="360" id="{4AA2EC87-FE8C-404A-81D5-B84E2EC457BE}">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61" id="{CBB05E60-587E-47FD-9A06-82A882EC44F2}">
            <xm:f>$I$15='Grise - regneark'!$B$13</xm:f>
            <x14:dxf>
              <fill>
                <patternFill>
                  <bgColor theme="9" tint="0.59996337778862885"/>
                </patternFill>
              </fill>
              <border>
                <left style="thin">
                  <color auto="1"/>
                </left>
                <right/>
                <top/>
                <bottom/>
                <vertical/>
                <horizontal/>
              </border>
            </x14:dxf>
          </x14:cfRule>
          <x14:cfRule type="expression" priority="362" id="{604CABB9-82FD-4DF0-943E-C3D434A15419}">
            <xm:f>$I$15='Grise - regneark'!$B$13</xm:f>
            <x14:dxf>
              <fill>
                <patternFill>
                  <bgColor theme="9" tint="0.59996337778862885"/>
                </patternFill>
              </fill>
              <border>
                <left style="thin">
                  <color auto="1"/>
                </left>
                <right/>
                <top/>
                <bottom/>
                <vertical/>
                <horizontal/>
              </border>
            </x14:dxf>
          </x14:cfRule>
          <x14:cfRule type="expression" priority="363" id="{51FCCCCA-6C6C-46DE-A1EC-062AB11597D1}">
            <xm:f>$I$15='Grise - regneark'!$B$13</xm:f>
            <x14:dxf/>
          </x14:cfRule>
          <x14:cfRule type="expression" priority="364" id="{46FD54E6-14E3-4628-9112-CC4A76EB5124}">
            <xm:f>$I$15='Grise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365" id="{8B7EA375-E51F-48ED-9ACF-C6331D438C56}">
            <xm:f>$I$15='Grise - regneark'!$B$13</xm:f>
            <x14:dxf>
              <fill>
                <patternFill>
                  <bgColor theme="9" tint="0.59996337778862885"/>
                </patternFill>
              </fill>
              <border>
                <left/>
                <right/>
                <top/>
                <bottom/>
                <vertical/>
                <horizontal/>
              </border>
            </x14:dxf>
          </x14:cfRule>
          <x14:cfRule type="expression" priority="366" id="{A8099B01-23AE-4213-82DA-AC9D9BA606DE}">
            <xm:f>$G$19='Grise - regneark'!$B$13</xm:f>
            <x14:dxf>
              <fill>
                <patternFill>
                  <bgColor theme="9" tint="0.59996337778862885"/>
                </patternFill>
              </fill>
              <border>
                <left/>
                <right/>
                <top/>
                <bottom/>
                <vertical/>
                <horizontal/>
              </border>
            </x14:dxf>
          </x14:cfRule>
          <xm:sqref>G19:H21</xm:sqref>
        </x14:conditionalFormatting>
        <x14:conditionalFormatting xmlns:xm="http://schemas.microsoft.com/office/excel/2006/main">
          <x14:cfRule type="expression" priority="367" id="{3BB83FD4-DC42-428C-B866-D9A889A0D2E2}">
            <xm:f>$I$15='Grise - regneark'!$B$13</xm:f>
            <x14:dxf/>
          </x14:cfRule>
          <xm:sqref>C19:F21</xm:sqref>
        </x14:conditionalFormatting>
        <x14:conditionalFormatting xmlns:xm="http://schemas.microsoft.com/office/excel/2006/main">
          <x14:cfRule type="expression" priority="368" id="{6FFBB524-0EE8-4513-AB33-1C96D825FA0F}">
            <xm:f>$I$15='Grise - regneark'!$B$13</xm:f>
            <x14:dxf>
              <font>
                <color theme="9" tint="0.59996337778862885"/>
              </font>
              <fill>
                <patternFill>
                  <bgColor theme="9" tint="0.59996337778862885"/>
                </patternFill>
              </fill>
              <border>
                <left style="thin">
                  <color auto="1"/>
                </left>
                <right/>
                <top/>
                <bottom/>
                <vertical/>
                <horizontal/>
              </border>
            </x14:dxf>
          </x14:cfRule>
          <xm:sqref>G19:H21</xm:sqref>
        </x14:conditionalFormatting>
        <x14:conditionalFormatting xmlns:xm="http://schemas.microsoft.com/office/excel/2006/main">
          <x14:cfRule type="expression" priority="300" id="{0DABE25A-722D-4372-96F7-2DA7DF42CD27}">
            <xm:f>$I$15='Grise - regneark'!$B$13</xm:f>
            <x14:dxf>
              <font>
                <color theme="9" tint="0.59996337778862885"/>
              </font>
            </x14:dxf>
          </x14:cfRule>
          <x14:cfRule type="expression" priority="301" id="{39B4B694-6C94-4B9D-AC23-B205207BB00A}">
            <xm:f>$I$15='Grise - regneark'!$C$13</xm:f>
            <x14:dxf/>
          </x14:cfRule>
          <xm:sqref>I18</xm:sqref>
        </x14:conditionalFormatting>
        <x14:conditionalFormatting xmlns:xm="http://schemas.microsoft.com/office/excel/2006/main">
          <x14:cfRule type="expression" priority="297" id="{C49BC92E-C08B-4704-A1CC-F0812A648308}">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298" id="{405BEAFA-1DD8-42B9-A889-B841EC5F7DC8}">
            <xm:f>$I$15='Grise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99" id="{67D470DB-FD82-4F67-9254-54853227BCC7}">
            <xm:f>$I$15='Grise - regneark'!$C$13</xm:f>
            <x14:dxf/>
          </x14:cfRule>
          <xm:sqref>I19:I21</xm:sqref>
        </x14:conditionalFormatting>
        <x14:conditionalFormatting xmlns:xm="http://schemas.microsoft.com/office/excel/2006/main">
          <x14:cfRule type="expression" priority="296" id="{02BDB33E-78CD-435C-831A-11B15A02CD62}">
            <xm:f>$I$15='Grise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G22:H22</xm:sqref>
        </x14:conditionalFormatting>
        <x14:conditionalFormatting xmlns:xm="http://schemas.microsoft.com/office/excel/2006/main">
          <x14:cfRule type="expression" priority="294" id="{4EC6F684-E413-4FC5-A1DF-4DA1E9F7941B}">
            <xm:f>$I$15='Grise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95" id="{8214324C-EADF-4EFA-8996-E149B8D42623}">
            <xm:f>$I$15='Grise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I22</xm:sqref>
        </x14:conditionalFormatting>
        <x14:conditionalFormatting xmlns:xm="http://schemas.microsoft.com/office/excel/2006/main">
          <x14:cfRule type="expression" priority="260" id="{E288B08D-57B4-45B1-8ED3-8CB822725633}">
            <xm:f>$I$24='Grise - regneark'!$C$25</xm:f>
            <x14:dxf>
              <font>
                <color theme="9" tint="0.59996337778862885"/>
              </font>
              <fill>
                <patternFill>
                  <bgColor theme="9" tint="0.59996337778862885"/>
                </patternFill>
              </fill>
              <border>
                <left/>
                <right/>
                <top style="thin">
                  <color auto="1"/>
                </top>
                <bottom/>
                <vertical/>
                <horizontal/>
              </border>
            </x14:dxf>
          </x14:cfRule>
          <xm:sqref>I25</xm:sqref>
        </x14:conditionalFormatting>
        <x14:conditionalFormatting xmlns:xm="http://schemas.microsoft.com/office/excel/2006/main">
          <x14:cfRule type="expression" priority="259" id="{9182F97D-D2C7-4F47-860E-A69AE82C719E}">
            <xm:f>$I$24='Grise - regneark'!$C$25</xm:f>
            <x14:dxf>
              <font>
                <color theme="9" tint="0.59996337778862885"/>
              </font>
              <fill>
                <patternFill>
                  <bgColor theme="9" tint="0.59996337778862885"/>
                </patternFill>
              </fill>
              <border>
                <left/>
                <right/>
                <top/>
                <bottom/>
                <vertical/>
                <horizontal/>
              </border>
            </x14:dxf>
          </x14:cfRule>
          <xm:sqref>B25:H25</xm:sqref>
        </x14:conditionalFormatting>
        <x14:conditionalFormatting xmlns:xm="http://schemas.microsoft.com/office/excel/2006/main">
          <x14:cfRule type="expression" priority="370" id="{E29698FB-DC9A-42C2-990D-FBC0B1B46704}">
            <xm:f>$I$40='Grise - regneark'!$D$28</xm:f>
            <x14:dxf>
              <font>
                <color theme="9" tint="0.59996337778862885"/>
              </font>
              <fill>
                <patternFill>
                  <bgColor theme="9" tint="0.59996337778862885"/>
                </patternFill>
              </fill>
              <border>
                <left/>
                <right/>
                <top/>
                <bottom/>
                <vertical/>
                <horizontal/>
              </border>
            </x14:dxf>
          </x14:cfRule>
          <x14:cfRule type="expression" priority="371" id="{F81B502A-B91D-4FFC-A483-EDA658B20A78}">
            <xm:f>$I$40='Grise - regneark'!$C$28</xm:f>
            <x14:dxf>
              <font>
                <color theme="9" tint="0.59996337778862885"/>
              </font>
              <fill>
                <patternFill>
                  <bgColor theme="9" tint="0.59996337778862885"/>
                </patternFill>
              </fill>
              <border>
                <left/>
                <right/>
                <top/>
                <bottom/>
                <vertical/>
                <horizontal/>
              </border>
            </x14:dxf>
          </x14:cfRule>
          <xm:sqref>C43:C44 E43:E44 H43:H44</xm:sqref>
        </x14:conditionalFormatting>
        <x14:conditionalFormatting xmlns:xm="http://schemas.microsoft.com/office/excel/2006/main">
          <x14:cfRule type="expression" priority="124" id="{966DDB8E-4FB3-4253-BB35-563161A4CF53}">
            <xm:f>$I$40='Grise - regneark'!$C$28</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47" id="{05EEBD83-C233-4182-98F0-070FE10D6163}">
            <xm:f>$I$40='Grise - regneark'!$B$28</xm:f>
            <x14:dxf>
              <font>
                <color theme="9" tint="0.59996337778862885"/>
              </font>
              <fill>
                <patternFill>
                  <bgColor theme="9" tint="0.59996337778862885"/>
                </patternFill>
              </fill>
              <border>
                <left/>
                <right/>
                <top style="thin">
                  <color auto="1"/>
                </top>
                <bottom/>
                <vertical/>
                <horizontal/>
              </border>
            </x14:dxf>
          </x14:cfRule>
          <xm:sqref>I41</xm:sqref>
        </x14:conditionalFormatting>
        <x14:conditionalFormatting xmlns:xm="http://schemas.microsoft.com/office/excel/2006/main">
          <x14:cfRule type="expression" priority="246" id="{735259C4-2CB2-4A99-B909-5AF1FD5370D3}">
            <xm:f>$I$40='Grise - regneark'!$C$28</xm:f>
            <x14:dxf>
              <font>
                <color theme="9" tint="0.59996337778862885"/>
              </font>
              <fill>
                <patternFill>
                  <bgColor theme="9" tint="0.59996337778862885"/>
                </patternFill>
              </fill>
              <border>
                <left/>
                <right/>
                <top/>
                <bottom/>
                <vertical/>
                <horizontal/>
              </border>
            </x14:dxf>
          </x14:cfRule>
          <xm:sqref>C43:I44</xm:sqref>
        </x14:conditionalFormatting>
        <x14:conditionalFormatting xmlns:xm="http://schemas.microsoft.com/office/excel/2006/main">
          <x14:cfRule type="expression" priority="245" id="{89042B74-FB97-421F-85D2-DD04AECCC996}">
            <xm:f>$I$40='Grise - regneark'!$D$28</xm:f>
            <x14:dxf>
              <font>
                <color theme="9" tint="0.59996337778862885"/>
              </font>
              <fill>
                <patternFill>
                  <bgColor theme="9" tint="0.59996337778862885"/>
                </patternFill>
              </fill>
              <border>
                <left/>
                <right/>
                <top/>
                <bottom/>
                <vertical/>
                <horizontal/>
              </border>
            </x14:dxf>
          </x14:cfRule>
          <xm:sqref>C43:I45</xm:sqref>
        </x14:conditionalFormatting>
        <x14:conditionalFormatting xmlns:xm="http://schemas.microsoft.com/office/excel/2006/main">
          <x14:cfRule type="expression" priority="122" id="{6C9E3EE0-AF68-4795-8465-D1C6893B773D}">
            <xm:f>$I$40='Grise - regneark'!$C$28</xm:f>
            <x14:dxf>
              <font>
                <color theme="9" tint="0.59996337778862885"/>
              </font>
              <fill>
                <patternFill>
                  <bgColor theme="9" tint="0.59996337778862885"/>
                </patternFill>
              </fill>
              <border>
                <left/>
                <right/>
                <top/>
                <bottom/>
                <vertical/>
                <horizontal/>
              </border>
            </x14:dxf>
          </x14:cfRule>
          <x14:cfRule type="expression" priority="123" id="{10FBA6F6-F2A1-4E54-8783-455844F09BE7}">
            <xm:f>$I$40='Grise - regneark'!$B$28</xm:f>
            <x14:dxf>
              <font>
                <color theme="9" tint="0.59996337778862885"/>
              </font>
              <fill>
                <patternFill>
                  <bgColor theme="9" tint="0.59996337778862885"/>
                </patternFill>
              </fill>
              <border>
                <left/>
                <right/>
                <top/>
                <bottom/>
                <vertical/>
                <horizontal/>
              </border>
            </x14:dxf>
          </x14:cfRule>
          <xm:sqref>H41</xm:sqref>
        </x14:conditionalFormatting>
        <x14:conditionalFormatting xmlns:xm="http://schemas.microsoft.com/office/excel/2006/main">
          <x14:cfRule type="expression" priority="32" id="{8EF530F6-018A-4CE6-8CE5-AB9810BD9323}">
            <xm:f>$I$15='Grise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3" id="{E1D14CD3-1AA4-4E9D-A5C0-7D1AAA86ABC5}">
            <xm:f>$I$15='Grise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4" id="{6190A387-281C-42DC-9D77-746784B9FCCD}">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5" id="{CB00DF5D-6784-4A01-95A9-FBC8F7ADBC63}">
            <xm:f>$I$15='Grise - regneark'!$B$13</xm:f>
            <x14:dxf/>
          </x14:cfRule>
          <xm:sqref>G29:H31</xm:sqref>
        </x14:conditionalFormatting>
        <x14:conditionalFormatting xmlns:xm="http://schemas.microsoft.com/office/excel/2006/main">
          <x14:cfRule type="expression" priority="42" id="{D63623E3-35F0-4E49-A96E-053A40CE50FE}">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43" id="{DF260AB4-5048-4892-9F61-B61F4D127715}">
            <xm:f>$I$15='Grise - regneark'!$B$13</xm:f>
            <x14:dxf>
              <fill>
                <patternFill>
                  <bgColor theme="9" tint="0.59996337778862885"/>
                </patternFill>
              </fill>
              <border>
                <left style="thin">
                  <color auto="1"/>
                </left>
                <right/>
                <top/>
                <bottom/>
                <vertical/>
                <horizontal/>
              </border>
            </x14:dxf>
          </x14:cfRule>
          <x14:cfRule type="expression" priority="44" id="{239C6070-CEBD-4897-8571-5E6E90476108}">
            <xm:f>$I$15='Grise - regneark'!$B$13</xm:f>
            <x14:dxf>
              <fill>
                <patternFill>
                  <bgColor theme="9" tint="0.59996337778862885"/>
                </patternFill>
              </fill>
              <border>
                <left style="thin">
                  <color auto="1"/>
                </left>
                <right/>
                <top/>
                <bottom/>
                <vertical/>
                <horizontal/>
              </border>
            </x14:dxf>
          </x14:cfRule>
          <x14:cfRule type="expression" priority="45" id="{4981CA53-50A2-4CD1-9D76-42BBE46AAB46}">
            <xm:f>$I$15='Grise - regneark'!$B$13</xm:f>
            <x14:dxf/>
          </x14:cfRule>
          <x14:cfRule type="expression" priority="46" id="{58B84575-2DFB-4F90-AFAB-451AC93F4DE7}">
            <xm:f>$I$15='Grise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47" id="{C76A3299-3C0F-4452-ADAF-2E98C87E2A81}">
            <xm:f>$I$15='Grise - regneark'!$B$13</xm:f>
            <x14:dxf>
              <fill>
                <patternFill>
                  <bgColor theme="9" tint="0.59996337778862885"/>
                </patternFill>
              </fill>
              <border>
                <left/>
                <right/>
                <top/>
                <bottom/>
                <vertical/>
                <horizontal/>
              </border>
            </x14:dxf>
          </x14:cfRule>
          <x14:cfRule type="expression" priority="48" id="{44ADDD56-503C-45D1-BA8B-049A4964A3AC}">
            <xm:f>$G$19='Grise - regneark'!$B$13</xm:f>
            <x14:dxf>
              <fill>
                <patternFill>
                  <bgColor theme="9" tint="0.59996337778862885"/>
                </patternFill>
              </fill>
              <border>
                <left/>
                <right/>
                <top/>
                <bottom/>
                <vertical/>
                <horizontal/>
              </border>
            </x14:dxf>
          </x14:cfRule>
          <xm:sqref>G29:H31</xm:sqref>
        </x14:conditionalFormatting>
        <x14:conditionalFormatting xmlns:xm="http://schemas.microsoft.com/office/excel/2006/main">
          <x14:cfRule type="expression" priority="49" id="{AC892306-35CD-4D3D-B350-3B287B9C1BFE}">
            <xm:f>$I$15='Grise - regneark'!$B$13</xm:f>
            <x14:dxf/>
          </x14:cfRule>
          <xm:sqref>C29:F31</xm:sqref>
        </x14:conditionalFormatting>
        <x14:conditionalFormatting xmlns:xm="http://schemas.microsoft.com/office/excel/2006/main">
          <x14:cfRule type="expression" priority="50" id="{685A9C2E-C720-476C-995D-FC0F7E3F4E3E}">
            <xm:f>$I$15='Grise - regneark'!$B$13</xm:f>
            <x14:dxf>
              <font>
                <color theme="9" tint="0.59996337778862885"/>
              </font>
              <fill>
                <patternFill>
                  <bgColor theme="9" tint="0.59996337778862885"/>
                </patternFill>
              </fill>
              <border>
                <left style="thin">
                  <color auto="1"/>
                </left>
                <right/>
                <top/>
                <bottom/>
                <vertical/>
                <horizontal/>
              </border>
            </x14:dxf>
          </x14:cfRule>
          <xm:sqref>G29:H31</xm:sqref>
        </x14:conditionalFormatting>
        <x14:conditionalFormatting xmlns:xm="http://schemas.microsoft.com/office/excel/2006/main">
          <x14:cfRule type="expression" priority="29" id="{E70B5E73-92E8-4626-8C91-09A889C1B968}">
            <xm:f>$I$15='Grise - regneark'!$B$13</xm:f>
            <x14:dxf>
              <font>
                <color theme="9" tint="0.59996337778862885"/>
              </font>
              <fill>
                <patternFill>
                  <bgColor theme="9" tint="0.59996337778862885"/>
                </patternFill>
              </fill>
              <border>
                <left style="thin">
                  <color auto="1"/>
                </left>
                <right/>
                <top/>
                <bottom/>
                <vertical/>
                <horizontal/>
              </border>
            </x14:dxf>
          </x14:cfRule>
          <x14:cfRule type="expression" priority="30" id="{18533CE0-E8FC-4A69-AF67-69781FF71398}">
            <xm:f>$I$15='Grise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31" id="{E2081561-0ADB-4ACC-9CD2-08BEF693E1BB}">
            <xm:f>$I$15='Grise - regneark'!$C$13</xm:f>
            <x14:dxf/>
          </x14:cfRule>
          <xm:sqref>I29:I31</xm:sqref>
        </x14:conditionalFormatting>
        <x14:conditionalFormatting xmlns:xm="http://schemas.microsoft.com/office/excel/2006/main">
          <x14:cfRule type="expression" priority="28" id="{653CAFB1-F32D-46A6-8881-F16E1E8D4A49}">
            <xm:f>$I$15='Grise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G32:H32</xm:sqref>
        </x14:conditionalFormatting>
        <x14:conditionalFormatting xmlns:xm="http://schemas.microsoft.com/office/excel/2006/main">
          <x14:cfRule type="expression" priority="26" id="{A15B61EB-DA91-443A-9AEF-91AD87C8811B}">
            <xm:f>$I$15='Grise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27" id="{182472E0-4CCB-413D-9CA8-B6D7D7A2C487}">
            <xm:f>$I$15='Grise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I32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ErrorMessage="1" error="Der kan indtastes værdier mellem 0 og 24">
          <x14:formula1>
            <xm:f>'Grise - regneark'!$B$13:$C$13</xm:f>
          </x14:formula1>
          <xm:sqref>I15</xm:sqref>
        </x14:dataValidation>
        <x14:dataValidation type="list" allowBlank="1" showInputMessage="1" showErrorMessage="1">
          <x14:formula1>
            <xm:f>IF($I$15='Grise - regneark'!$B$13,'Grise - regneark'!$B$16:$D$16,'Grise - regneark'!$B$19:$D$19)</xm:f>
          </x14:formula1>
          <xm:sqref>C19:D21 C29:D31</xm:sqref>
        </x14:dataValidation>
        <x14:dataValidation type="list" allowBlank="1" showErrorMessage="1" prompt="Her indtastes optælling af specifikke samlede antal lyskilder, og ikke antal lamper/lysarmaturer. Hvis der f.eks, er to, tre eller fire lyskilder i en lampe/lysaramtur, så skal der optælles hhv. to, tre eller fire lyskilder.">
          <x14:formula1>
            <xm:f>'Grise - regneark'!$B$22:$C$22</xm:f>
          </x14:formula1>
          <xm:sqref>I24</xm:sqref>
        </x14:dataValidation>
        <x14:dataValidation type="list" allowBlank="1" showInputMessage="1" showErrorMessage="1">
          <x14:formula1>
            <xm:f>'Grise-Virkningsgrad regneark'!$M$4:$M$10</xm:f>
          </x14:formula1>
          <xm:sqref>I34</xm:sqref>
        </x14:dataValidation>
        <x14:dataValidation type="list" allowBlank="1" showInputMessage="1" showErrorMessage="1">
          <x14:formula1>
            <xm:f>'Grise - regneark'!$B$25:$C$25</xm:f>
          </x14:formula1>
          <xm:sqref>I25</xm:sqref>
        </x14:dataValidation>
        <x14:dataValidation type="list" allowBlank="1" showInputMessage="1" showErrorMessage="1">
          <x14:formula1>
            <xm:f>'Grise - regneark'!$B$28:$D$28</xm:f>
          </x14:formula1>
          <xm:sqref>I40</xm:sqref>
        </x14:dataValidation>
        <x14:dataValidation type="list" allowBlank="1" showInputMessage="1" showErrorMessage="1">
          <x14:formula1>
            <xm:f>'Grise - regneark'!$B$10:$C$10</xm:f>
          </x14:formula1>
          <xm:sqref>R8:R9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T38"/>
  <sheetViews>
    <sheetView topLeftCell="A11" workbookViewId="0">
      <selection activeCell="T28" sqref="T28"/>
    </sheetView>
  </sheetViews>
  <sheetFormatPr defaultRowHeight="15" x14ac:dyDescent="0.25"/>
  <cols>
    <col min="1" max="1" width="29.5703125" customWidth="1"/>
    <col min="2" max="3" width="13.85546875" customWidth="1"/>
    <col min="4" max="4" width="11.140625" customWidth="1"/>
    <col min="7" max="7" width="14.85546875" customWidth="1"/>
    <col min="8" max="8" width="13.85546875" customWidth="1"/>
  </cols>
  <sheetData>
    <row r="1" spans="1:13" ht="18.75" x14ac:dyDescent="0.3">
      <c r="A1" s="295" t="s">
        <v>6</v>
      </c>
      <c r="B1" s="295"/>
      <c r="C1" s="295"/>
    </row>
    <row r="3" spans="1:13" ht="15.75" x14ac:dyDescent="0.25">
      <c r="A3" s="110" t="s">
        <v>41</v>
      </c>
    </row>
    <row r="4" spans="1:13" x14ac:dyDescent="0.25">
      <c r="A4" s="106" t="s">
        <v>42</v>
      </c>
      <c r="K4" s="88"/>
      <c r="M4" s="88"/>
    </row>
    <row r="5" spans="1:13" x14ac:dyDescent="0.25">
      <c r="A5" s="107" t="s">
        <v>43</v>
      </c>
    </row>
    <row r="6" spans="1:13" x14ac:dyDescent="0.25">
      <c r="A6" s="108" t="s">
        <v>44</v>
      </c>
    </row>
    <row r="8" spans="1:13" x14ac:dyDescent="0.25">
      <c r="H8" s="109" t="s">
        <v>51</v>
      </c>
    </row>
    <row r="9" spans="1:13" x14ac:dyDescent="0.25">
      <c r="A9" s="109" t="s">
        <v>45</v>
      </c>
      <c r="B9" s="294" t="s">
        <v>21</v>
      </c>
      <c r="C9" s="294"/>
      <c r="D9" s="113"/>
    </row>
    <row r="10" spans="1:13" ht="18" customHeight="1" x14ac:dyDescent="0.25">
      <c r="A10" t="s">
        <v>46</v>
      </c>
      <c r="B10" s="115" t="s">
        <v>22</v>
      </c>
      <c r="C10" s="115" t="s">
        <v>9</v>
      </c>
      <c r="H10" s="120" t="s">
        <v>30</v>
      </c>
    </row>
    <row r="11" spans="1:13" ht="24.75" customHeight="1" x14ac:dyDescent="0.25">
      <c r="B11" s="115"/>
      <c r="C11" s="115"/>
      <c r="H11" s="117" t="str">
        <f>B19</f>
        <v>Søer,gylte og orner</v>
      </c>
      <c r="I11" s="108">
        <v>1</v>
      </c>
    </row>
    <row r="12" spans="1:13" x14ac:dyDescent="0.25">
      <c r="A12" s="109" t="s">
        <v>47</v>
      </c>
      <c r="B12" s="294" t="s">
        <v>21</v>
      </c>
      <c r="C12" s="294"/>
      <c r="H12" s="117" t="str">
        <f>C19</f>
        <v>Svin o. 30 kg</v>
      </c>
      <c r="I12" s="108">
        <v>4.1399999999999997</v>
      </c>
      <c r="J12">
        <v>3.7</v>
      </c>
    </row>
    <row r="13" spans="1:13" ht="30" x14ac:dyDescent="0.25">
      <c r="A13" s="112" t="s">
        <v>48</v>
      </c>
      <c r="B13" s="115" t="s">
        <v>23</v>
      </c>
      <c r="C13" s="115" t="s">
        <v>24</v>
      </c>
      <c r="H13" s="117" t="str">
        <f>D19</f>
        <v>Smågrise 7-30 kg</v>
      </c>
      <c r="I13" s="108">
        <v>6.65</v>
      </c>
      <c r="J13">
        <v>5.9</v>
      </c>
    </row>
    <row r="14" spans="1:13" x14ac:dyDescent="0.25">
      <c r="B14" s="114"/>
      <c r="C14" s="114"/>
    </row>
    <row r="15" spans="1:13" x14ac:dyDescent="0.25">
      <c r="A15" s="116" t="s">
        <v>49</v>
      </c>
      <c r="B15" s="294" t="s">
        <v>21</v>
      </c>
      <c r="C15" s="294"/>
    </row>
    <row r="16" spans="1:13" x14ac:dyDescent="0.25">
      <c r="B16" s="111" t="s">
        <v>25</v>
      </c>
      <c r="C16" s="111" t="s">
        <v>26</v>
      </c>
      <c r="D16" s="111" t="s">
        <v>27</v>
      </c>
    </row>
    <row r="17" spans="1:20" x14ac:dyDescent="0.25">
      <c r="B17" s="115"/>
      <c r="C17" s="115"/>
      <c r="D17" s="111"/>
      <c r="L17" s="91"/>
    </row>
    <row r="18" spans="1:20" x14ac:dyDescent="0.25">
      <c r="A18" s="116" t="s">
        <v>50</v>
      </c>
      <c r="B18" s="294" t="s">
        <v>21</v>
      </c>
      <c r="C18" s="294"/>
      <c r="D18" s="111"/>
    </row>
    <row r="19" spans="1:20" ht="30.75" thickBot="1" x14ac:dyDescent="0.3">
      <c r="B19" s="117" t="s">
        <v>28</v>
      </c>
      <c r="C19" s="115" t="s">
        <v>29</v>
      </c>
      <c r="D19" s="117" t="s">
        <v>52</v>
      </c>
      <c r="L19" s="92" t="s">
        <v>31</v>
      </c>
      <c r="M19" s="88"/>
      <c r="N19" s="294" t="s">
        <v>32</v>
      </c>
      <c r="O19" s="294"/>
      <c r="P19" s="294"/>
      <c r="Q19" s="294"/>
      <c r="S19" s="91" t="s">
        <v>40</v>
      </c>
    </row>
    <row r="20" spans="1:20" x14ac:dyDescent="0.25">
      <c r="B20" s="114"/>
      <c r="C20" s="114"/>
      <c r="L20" s="93"/>
      <c r="M20" s="94"/>
      <c r="N20" s="288" t="str">
        <f>B16</f>
        <v>Årssøer</v>
      </c>
      <c r="O20" s="288"/>
      <c r="P20" s="288" t="str">
        <f>B19</f>
        <v>Søer,gylte og orner</v>
      </c>
      <c r="Q20" s="289"/>
      <c r="S20" s="99" t="str">
        <f>B16</f>
        <v>Årssøer</v>
      </c>
      <c r="T20" s="103">
        <f>N22+N21</f>
        <v>107</v>
      </c>
    </row>
    <row r="21" spans="1:20" x14ac:dyDescent="0.25">
      <c r="B21" s="294" t="s">
        <v>21</v>
      </c>
      <c r="C21" s="294"/>
      <c r="L21" s="95" t="s">
        <v>33</v>
      </c>
      <c r="M21" s="96"/>
      <c r="N21" s="292">
        <v>2</v>
      </c>
      <c r="O21" s="292"/>
      <c r="P21" s="292"/>
      <c r="Q21" s="293"/>
      <c r="S21" s="95" t="str">
        <f>B19</f>
        <v>Søer,gylte og orner</v>
      </c>
      <c r="T21" s="104">
        <f>T20</f>
        <v>107</v>
      </c>
    </row>
    <row r="22" spans="1:20" ht="30" x14ac:dyDescent="0.25">
      <c r="A22" s="112" t="s">
        <v>95</v>
      </c>
      <c r="B22" s="115" t="s">
        <v>22</v>
      </c>
      <c r="C22" s="115" t="s">
        <v>9</v>
      </c>
      <c r="L22" s="95" t="s">
        <v>34</v>
      </c>
      <c r="M22" s="96"/>
      <c r="N22" s="292">
        <v>105</v>
      </c>
      <c r="O22" s="292"/>
      <c r="P22" s="292"/>
      <c r="Q22" s="293"/>
      <c r="S22" s="95" t="str">
        <f>C16</f>
        <v>Slagtesvin</v>
      </c>
      <c r="T22" s="104">
        <f>N26</f>
        <v>0.32</v>
      </c>
    </row>
    <row r="23" spans="1:20" ht="15.75" thickBot="1" x14ac:dyDescent="0.3">
      <c r="B23" s="114"/>
      <c r="C23" s="114"/>
      <c r="L23" s="97" t="s">
        <v>35</v>
      </c>
      <c r="M23" s="98"/>
      <c r="N23" s="290">
        <v>101</v>
      </c>
      <c r="O23" s="290"/>
      <c r="P23" s="290"/>
      <c r="Q23" s="291"/>
      <c r="S23" s="95" t="str">
        <f>C19</f>
        <v>Svin o. 30 kg</v>
      </c>
      <c r="T23" s="104">
        <f>N26</f>
        <v>0.32</v>
      </c>
    </row>
    <row r="24" spans="1:20" x14ac:dyDescent="0.25">
      <c r="A24" s="118"/>
      <c r="B24" s="294" t="s">
        <v>21</v>
      </c>
      <c r="C24" s="294"/>
      <c r="L24" s="99"/>
      <c r="M24" s="100"/>
      <c r="N24" s="288" t="str">
        <f>C16</f>
        <v>Slagtesvin</v>
      </c>
      <c r="O24" s="288"/>
      <c r="P24" s="288" t="str">
        <f>C19</f>
        <v>Svin o. 30 kg</v>
      </c>
      <c r="Q24" s="289"/>
      <c r="S24" s="95" t="str">
        <f>D16</f>
        <v>Smågrise</v>
      </c>
      <c r="T24" s="104">
        <f>N28</f>
        <v>11</v>
      </c>
    </row>
    <row r="25" spans="1:20" ht="34.5" thickBot="1" x14ac:dyDescent="0.3">
      <c r="A25" s="154" t="s">
        <v>96</v>
      </c>
      <c r="B25" s="115" t="s">
        <v>22</v>
      </c>
      <c r="C25" s="115" t="s">
        <v>9</v>
      </c>
      <c r="L25" s="95" t="s">
        <v>38</v>
      </c>
      <c r="M25" s="101"/>
      <c r="N25" s="292">
        <v>0.1</v>
      </c>
      <c r="O25" s="292"/>
      <c r="P25" s="292"/>
      <c r="Q25" s="293"/>
      <c r="S25" s="97" t="str">
        <f>D19</f>
        <v>Smågrise 7-30 kg</v>
      </c>
      <c r="T25" s="105">
        <f>T24</f>
        <v>11</v>
      </c>
    </row>
    <row r="26" spans="1:20" ht="15.75" thickBot="1" x14ac:dyDescent="0.3">
      <c r="A26" s="118"/>
      <c r="B26" s="119"/>
      <c r="C26" s="119"/>
      <c r="L26" s="97" t="s">
        <v>39</v>
      </c>
      <c r="M26" s="102"/>
      <c r="N26" s="290">
        <v>0.32</v>
      </c>
      <c r="O26" s="290"/>
      <c r="P26" s="290"/>
      <c r="Q26" s="291"/>
    </row>
    <row r="27" spans="1:20" x14ac:dyDescent="0.25">
      <c r="B27" s="294" t="s">
        <v>21</v>
      </c>
      <c r="C27" s="294"/>
      <c r="L27" s="99"/>
      <c r="M27" s="94"/>
      <c r="N27" s="288" t="str">
        <f>D16</f>
        <v>Smågrise</v>
      </c>
      <c r="O27" s="288"/>
      <c r="P27" s="288"/>
      <c r="Q27" s="289"/>
    </row>
    <row r="28" spans="1:20" ht="30" x14ac:dyDescent="0.25">
      <c r="A28" s="155" t="s">
        <v>97</v>
      </c>
      <c r="B28" s="117" t="s">
        <v>98</v>
      </c>
      <c r="C28" s="117" t="s">
        <v>99</v>
      </c>
      <c r="D28" s="156" t="s">
        <v>100</v>
      </c>
      <c r="L28" s="95" t="s">
        <v>36</v>
      </c>
      <c r="M28" s="101"/>
      <c r="N28" s="292">
        <v>11</v>
      </c>
      <c r="O28" s="292"/>
      <c r="P28" s="292"/>
      <c r="Q28" s="293"/>
    </row>
    <row r="29" spans="1:20" ht="15.75" thickBot="1" x14ac:dyDescent="0.3">
      <c r="L29" s="97" t="s">
        <v>37</v>
      </c>
      <c r="M29" s="102"/>
      <c r="N29" s="290">
        <v>2.2999999999999998</v>
      </c>
      <c r="O29" s="290"/>
      <c r="P29" s="290"/>
      <c r="Q29" s="291"/>
    </row>
    <row r="31" spans="1:20" ht="15.75" thickBot="1" x14ac:dyDescent="0.3">
      <c r="L31" s="123" t="s">
        <v>31</v>
      </c>
      <c r="M31" s="88"/>
      <c r="N31" s="294" t="s">
        <v>55</v>
      </c>
      <c r="O31" s="294"/>
      <c r="P31" s="294"/>
      <c r="Q31" s="294"/>
      <c r="S31" s="91" t="s">
        <v>40</v>
      </c>
    </row>
    <row r="32" spans="1:20" x14ac:dyDescent="0.25">
      <c r="L32" s="93"/>
      <c r="M32" s="94"/>
      <c r="N32" s="288" t="str">
        <f>B16</f>
        <v>Årssøer</v>
      </c>
      <c r="O32" s="288"/>
      <c r="P32" s="288" t="str">
        <f>B19</f>
        <v>Søer,gylte og orner</v>
      </c>
      <c r="Q32" s="289"/>
      <c r="S32" s="99" t="str">
        <f>B16</f>
        <v>Årssøer</v>
      </c>
      <c r="T32" s="103">
        <f>N34</f>
        <v>44</v>
      </c>
    </row>
    <row r="33" spans="12:20" x14ac:dyDescent="0.25">
      <c r="L33" s="95" t="s">
        <v>33</v>
      </c>
      <c r="M33" s="96"/>
      <c r="N33" s="292">
        <v>0</v>
      </c>
      <c r="O33" s="292"/>
      <c r="P33" s="292"/>
      <c r="Q33" s="293"/>
      <c r="S33" s="95" t="str">
        <f>B19</f>
        <v>Søer,gylte og orner</v>
      </c>
      <c r="T33" s="104">
        <f>N34</f>
        <v>44</v>
      </c>
    </row>
    <row r="34" spans="12:20" ht="15.75" thickBot="1" x14ac:dyDescent="0.3">
      <c r="L34" s="95" t="s">
        <v>34</v>
      </c>
      <c r="M34" s="96"/>
      <c r="N34" s="292">
        <v>44</v>
      </c>
      <c r="O34" s="292"/>
      <c r="P34" s="292"/>
      <c r="Q34" s="293"/>
      <c r="S34" s="95" t="str">
        <f>C16</f>
        <v>Slagtesvin</v>
      </c>
      <c r="T34" s="104">
        <f>N36</f>
        <v>2.2000000000000002</v>
      </c>
    </row>
    <row r="35" spans="12:20" x14ac:dyDescent="0.25">
      <c r="L35" s="99"/>
      <c r="M35" s="100"/>
      <c r="N35" s="288" t="str">
        <f>C16</f>
        <v>Slagtesvin</v>
      </c>
      <c r="O35" s="288"/>
      <c r="P35" s="288" t="str">
        <f>C19</f>
        <v>Svin o. 30 kg</v>
      </c>
      <c r="Q35" s="289"/>
      <c r="S35" s="95" t="str">
        <f>C19</f>
        <v>Svin o. 30 kg</v>
      </c>
      <c r="T35" s="104">
        <f>N36</f>
        <v>2.2000000000000002</v>
      </c>
    </row>
    <row r="36" spans="12:20" ht="15.75" thickBot="1" x14ac:dyDescent="0.3">
      <c r="L36" s="95" t="s">
        <v>38</v>
      </c>
      <c r="M36" s="101"/>
      <c r="N36" s="292">
        <v>2.2000000000000002</v>
      </c>
      <c r="O36" s="292"/>
      <c r="P36" s="292"/>
      <c r="Q36" s="293"/>
      <c r="S36" s="95" t="str">
        <f>D16</f>
        <v>Smågrise</v>
      </c>
      <c r="T36" s="104">
        <f>N38</f>
        <v>1</v>
      </c>
    </row>
    <row r="37" spans="12:20" ht="15.75" thickBot="1" x14ac:dyDescent="0.3">
      <c r="L37" s="99"/>
      <c r="M37" s="94"/>
      <c r="N37" s="288" t="str">
        <f>D16</f>
        <v>Smågrise</v>
      </c>
      <c r="O37" s="288"/>
      <c r="P37" s="288"/>
      <c r="Q37" s="289"/>
      <c r="S37" s="97" t="str">
        <f>D19</f>
        <v>Smågrise 7-30 kg</v>
      </c>
      <c r="T37" s="105">
        <f>N38</f>
        <v>1</v>
      </c>
    </row>
    <row r="38" spans="12:20" ht="15.75" thickBot="1" x14ac:dyDescent="0.3">
      <c r="L38" s="97" t="s">
        <v>36</v>
      </c>
      <c r="M38" s="102"/>
      <c r="N38" s="290">
        <v>1</v>
      </c>
      <c r="O38" s="290"/>
      <c r="P38" s="290"/>
      <c r="Q38" s="291"/>
    </row>
  </sheetData>
  <mergeCells count="31">
    <mergeCell ref="B24:C24"/>
    <mergeCell ref="B27:C27"/>
    <mergeCell ref="N23:Q23"/>
    <mergeCell ref="P24:Q24"/>
    <mergeCell ref="N28:Q28"/>
    <mergeCell ref="N29:Q29"/>
    <mergeCell ref="N20:O20"/>
    <mergeCell ref="N24:O24"/>
    <mergeCell ref="N25:Q25"/>
    <mergeCell ref="N26:Q26"/>
    <mergeCell ref="N27:Q27"/>
    <mergeCell ref="A1:C1"/>
    <mergeCell ref="B9:C9"/>
    <mergeCell ref="B12:C12"/>
    <mergeCell ref="B15:C15"/>
    <mergeCell ref="B18:C18"/>
    <mergeCell ref="N19:Q19"/>
    <mergeCell ref="P20:Q20"/>
    <mergeCell ref="N21:Q21"/>
    <mergeCell ref="N22:Q22"/>
    <mergeCell ref="B21:C21"/>
    <mergeCell ref="N31:Q31"/>
    <mergeCell ref="N32:O32"/>
    <mergeCell ref="P32:Q32"/>
    <mergeCell ref="N33:Q33"/>
    <mergeCell ref="N34:Q34"/>
    <mergeCell ref="N37:Q37"/>
    <mergeCell ref="N38:Q38"/>
    <mergeCell ref="N35:O35"/>
    <mergeCell ref="P35:Q35"/>
    <mergeCell ref="N36:Q3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H20"/>
  <sheetViews>
    <sheetView topLeftCell="A11" zoomScaleNormal="100" workbookViewId="0">
      <selection activeCell="B10" sqref="B10"/>
    </sheetView>
  </sheetViews>
  <sheetFormatPr defaultColWidth="9.140625" defaultRowHeight="15" x14ac:dyDescent="0.25"/>
  <cols>
    <col min="1" max="1" width="57.85546875" style="128" bestFit="1" customWidth="1"/>
    <col min="2" max="2" width="28.42578125" style="128" customWidth="1"/>
    <col min="3" max="5" width="9.140625" style="128"/>
    <col min="6" max="6" width="11.42578125" style="128" customWidth="1"/>
    <col min="7" max="16384" width="9.140625" style="128"/>
  </cols>
  <sheetData>
    <row r="3" spans="1:8" ht="15.75" x14ac:dyDescent="0.25">
      <c r="A3" s="127" t="s">
        <v>56</v>
      </c>
    </row>
    <row r="7" spans="1:8" x14ac:dyDescent="0.25">
      <c r="A7" s="128" t="s">
        <v>57</v>
      </c>
    </row>
    <row r="8" spans="1:8" x14ac:dyDescent="0.25">
      <c r="A8" s="129" t="s">
        <v>58</v>
      </c>
      <c r="B8" s="130"/>
    </row>
    <row r="9" spans="1:8" x14ac:dyDescent="0.25">
      <c r="A9" s="131" t="s">
        <v>59</v>
      </c>
      <c r="B9" s="132">
        <f>'Grise - Varmeforbrug'!$C$38</f>
        <v>0</v>
      </c>
      <c r="C9" s="296" t="s">
        <v>60</v>
      </c>
      <c r="D9" s="296"/>
      <c r="E9" s="296"/>
      <c r="F9" s="296"/>
    </row>
    <row r="10" spans="1:8" x14ac:dyDescent="0.25">
      <c r="A10" s="131" t="s">
        <v>61</v>
      </c>
      <c r="B10" s="132">
        <f>'Grise - Varmeforbrug'!$I$34</f>
        <v>0</v>
      </c>
      <c r="C10" s="301" t="s">
        <v>62</v>
      </c>
      <c r="D10" s="302"/>
      <c r="E10" s="302"/>
      <c r="F10" s="303"/>
    </row>
    <row r="11" spans="1:8" ht="24" customHeight="1" x14ac:dyDescent="0.25">
      <c r="A11" s="131" t="s">
        <v>63</v>
      </c>
      <c r="B11" s="133">
        <f>'Grise - Varmeforbrug'!E38</f>
        <v>0</v>
      </c>
      <c r="C11" s="297" t="s">
        <v>64</v>
      </c>
      <c r="D11" s="297"/>
      <c r="E11" s="297"/>
      <c r="F11" s="297"/>
    </row>
    <row r="12" spans="1:8" ht="46.35" customHeight="1" x14ac:dyDescent="0.25">
      <c r="A12" s="131" t="s">
        <v>65</v>
      </c>
      <c r="B12" s="134">
        <f>'Grise - Varmeforbrug'!G38</f>
        <v>0</v>
      </c>
      <c r="C12" s="297" t="s">
        <v>66</v>
      </c>
      <c r="D12" s="297"/>
      <c r="E12" s="297"/>
      <c r="F12" s="297"/>
      <c r="H12" s="130"/>
    </row>
    <row r="13" spans="1:8" x14ac:dyDescent="0.25">
      <c r="A13" s="131" t="s">
        <v>67</v>
      </c>
      <c r="B13" s="135" t="e">
        <f>IF(B12&lt;&gt;"",'Grise-Virkningsgrad regneark'!C13/100,"")</f>
        <v>#NUM!</v>
      </c>
      <c r="C13" s="298" t="s">
        <v>68</v>
      </c>
      <c r="D13" s="298"/>
      <c r="E13" s="298"/>
      <c r="F13" s="298"/>
    </row>
    <row r="14" spans="1:8" ht="56.25" customHeight="1" x14ac:dyDescent="0.25">
      <c r="A14" s="131" t="s">
        <v>69</v>
      </c>
      <c r="B14" s="135" t="e">
        <f>IF(B12&lt;&gt;"",'Grise-Virkningsgrad regneark'!C14/100,"")</f>
        <v>#N/A</v>
      </c>
      <c r="C14" s="297" t="s">
        <v>70</v>
      </c>
      <c r="D14" s="297"/>
      <c r="E14" s="297"/>
      <c r="F14" s="297"/>
    </row>
    <row r="15" spans="1:8" x14ac:dyDescent="0.25">
      <c r="A15" s="136"/>
      <c r="B15"/>
    </row>
    <row r="17" spans="1:6" x14ac:dyDescent="0.25">
      <c r="A17" s="129" t="s">
        <v>71</v>
      </c>
      <c r="B17" s="130"/>
    </row>
    <row r="18" spans="1:6" x14ac:dyDescent="0.25">
      <c r="A18" s="131" t="s">
        <v>59</v>
      </c>
      <c r="B18" s="132">
        <f>'Grise - Varmeforbrug'!C44</f>
        <v>0</v>
      </c>
      <c r="C18" s="299" t="s">
        <v>60</v>
      </c>
      <c r="D18" s="299"/>
      <c r="E18" s="299"/>
      <c r="F18" s="299"/>
    </row>
    <row r="19" spans="1:6" ht="36" customHeight="1" x14ac:dyDescent="0.25">
      <c r="A19" s="131" t="s">
        <v>65</v>
      </c>
      <c r="B19" s="134">
        <f>'Grise - Varmeforbrug'!E44</f>
        <v>0</v>
      </c>
      <c r="C19" s="300" t="s">
        <v>72</v>
      </c>
      <c r="D19" s="300"/>
      <c r="E19" s="300"/>
      <c r="F19" s="300"/>
    </row>
    <row r="20" spans="1:6" ht="38.450000000000003" customHeight="1" x14ac:dyDescent="0.25">
      <c r="A20" s="131" t="s">
        <v>67</v>
      </c>
      <c r="B20" s="135" t="e">
        <f>IF(B19="","",B19*(0.0043*LN(B18)+0.93))</f>
        <v>#NUM!</v>
      </c>
      <c r="C20" s="297" t="s">
        <v>73</v>
      </c>
      <c r="D20" s="297"/>
      <c r="E20" s="297"/>
      <c r="F20" s="297"/>
    </row>
  </sheetData>
  <sheetProtection selectLockedCells="1"/>
  <mergeCells count="9">
    <mergeCell ref="C9:F9"/>
    <mergeCell ref="C20:F20"/>
    <mergeCell ref="C14:F14"/>
    <mergeCell ref="C13:F13"/>
    <mergeCell ref="C12:F12"/>
    <mergeCell ref="C18:F18"/>
    <mergeCell ref="C19:F19"/>
    <mergeCell ref="C11:F11"/>
    <mergeCell ref="C10:F10"/>
  </mergeCells>
  <dataValidations count="3">
    <dataValidation type="custom" allowBlank="1" showInputMessage="1" errorTitle="For lav virkningsgrad" error="Kedlens årsvirkningsgrad ved udskiftningstidspunktet kan ikke være mindre end 50 %" promptTitle="Bemærk" prompt="Kedlens årsvirkningsgrad ved udskiftningstidspunktet må ikke være mindre en 50%." sqref="B14">
      <formula1>B14&gt;0.5</formula1>
    </dataValidation>
    <dataValidation type="decimal" allowBlank="1" showInputMessage="1" showErrorMessage="1" errorTitle="Fejl i indtastning" error="Normvirkningsgraden kan maksmimalt være 120 %." sqref="B19">
      <formula1>0</formula1>
      <formula2>1.2</formula2>
    </dataValidation>
    <dataValidation type="decimal" allowBlank="1" showInputMessage="1" showErrorMessage="1" errorTitle="Fejl i indtastning" error="Normvirkningsgraden kan maksmimalt være 103 %." sqref="B12">
      <formula1>0</formula1>
      <formula2>1.03</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'Grise-Virkningsgrad regneark'!$M$4:$M$10</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zoomScale="90" zoomScaleNormal="90" workbookViewId="0">
      <selection activeCell="D41" sqref="D41"/>
    </sheetView>
  </sheetViews>
  <sheetFormatPr defaultColWidth="9.140625" defaultRowHeight="15" customHeight="1" x14ac:dyDescent="0.25"/>
  <cols>
    <col min="1" max="1" width="12.5703125" style="138" customWidth="1"/>
    <col min="2" max="2" width="22.5703125" style="138" customWidth="1"/>
    <col min="3" max="3" width="13.85546875" style="138" bestFit="1" customWidth="1"/>
    <col min="4" max="11" width="9.140625" style="138" customWidth="1"/>
    <col min="12" max="12" width="9.42578125" style="138" bestFit="1" customWidth="1"/>
    <col min="13" max="13" width="14" style="140" bestFit="1" customWidth="1"/>
    <col min="14" max="14" width="13.85546875" style="140" bestFit="1" customWidth="1"/>
    <col min="15" max="15" width="9.42578125" style="140" bestFit="1" customWidth="1"/>
    <col min="16" max="21" width="9.140625" style="140"/>
    <col min="22" max="22" width="9.42578125" style="140" bestFit="1" customWidth="1"/>
    <col min="23" max="23" width="13.85546875" style="140" bestFit="1" customWidth="1"/>
    <col min="24" max="16384" width="9.140625" style="140"/>
  </cols>
  <sheetData>
    <row r="1" spans="1:29" ht="15" customHeight="1" x14ac:dyDescent="0.25">
      <c r="A1" s="137"/>
      <c r="E1" s="139"/>
      <c r="F1" s="139"/>
      <c r="G1" s="139"/>
      <c r="H1" s="139"/>
      <c r="I1" s="139"/>
      <c r="J1" s="139"/>
      <c r="K1" s="139"/>
      <c r="L1" s="137"/>
    </row>
    <row r="2" spans="1:29" ht="15" customHeight="1" x14ac:dyDescent="0.25">
      <c r="B2" s="141"/>
      <c r="C2" s="141"/>
      <c r="F2" s="142"/>
      <c r="L2" s="137" t="str">
        <f>IF(M4=C3,1,IF(M5=C3,2,IF(M6=C3,3,IF(M7=C3,4,IF(M8=C3,5,IF(M9=C3,6,IF(M10=C3,7,"")))))))</f>
        <v/>
      </c>
      <c r="M2" s="141" t="e">
        <f>VLOOKUP(L2,L4:N10,2)</f>
        <v>#N/A</v>
      </c>
      <c r="N2" s="141" t="e">
        <f>VLOOKUP(L2,L4:N10,3)</f>
        <v>#N/A</v>
      </c>
      <c r="V2" s="141" t="s">
        <v>74</v>
      </c>
      <c r="W2" s="141">
        <v>0.01</v>
      </c>
    </row>
    <row r="3" spans="1:29" ht="15" customHeight="1" x14ac:dyDescent="0.25">
      <c r="B3" s="143" t="s">
        <v>61</v>
      </c>
      <c r="C3" s="143">
        <f>'Grise - Virkningsgrader'!B10</f>
        <v>0</v>
      </c>
      <c r="E3" s="144" t="e">
        <f>N2</f>
        <v>#N/A</v>
      </c>
      <c r="F3" s="142"/>
    </row>
    <row r="4" spans="1:29" ht="15" customHeight="1" x14ac:dyDescent="0.25">
      <c r="B4" s="143" t="s">
        <v>74</v>
      </c>
      <c r="C4" s="138">
        <f>'Grise - Virkningsgrader'!B9</f>
        <v>0</v>
      </c>
      <c r="E4" s="144" t="e">
        <f xml:space="preserve"> 0.0043*LN(C4) + 0.93</f>
        <v>#NUM!</v>
      </c>
      <c r="F4" s="142"/>
      <c r="L4" s="137">
        <v>1</v>
      </c>
      <c r="M4" s="140" t="s">
        <v>75</v>
      </c>
      <c r="N4" s="145" t="e">
        <f>N12</f>
        <v>#NUM!</v>
      </c>
      <c r="V4" s="140">
        <v>1000</v>
      </c>
      <c r="W4" s="145">
        <v>0.96</v>
      </c>
    </row>
    <row r="5" spans="1:29" ht="15" customHeight="1" x14ac:dyDescent="0.25">
      <c r="B5" s="143" t="s">
        <v>76</v>
      </c>
      <c r="C5" s="143">
        <f>'Grise - Virkningsgrader'!B11</f>
        <v>0</v>
      </c>
      <c r="E5" s="142"/>
      <c r="F5" s="142"/>
      <c r="J5" s="146" t="str">
        <f>IF(M4=C3,1,IF(M5=C3,2,IF(M6=C3,3,IF(M7=C3,4,IF(M8=C3,5,"")))))</f>
        <v/>
      </c>
      <c r="L5" s="137">
        <v>2</v>
      </c>
      <c r="M5" s="140" t="s">
        <v>77</v>
      </c>
      <c r="N5" s="145" t="e">
        <f>N21</f>
        <v>#NUM!</v>
      </c>
      <c r="V5" s="140">
        <v>100</v>
      </c>
      <c r="W5" s="145">
        <f>W4-W2</f>
        <v>0.95</v>
      </c>
    </row>
    <row r="6" spans="1:29" ht="15" customHeight="1" x14ac:dyDescent="0.25">
      <c r="B6" s="143" t="s">
        <v>78</v>
      </c>
      <c r="C6" s="143">
        <f>'Grise - Virkningsgrader'!B12*100</f>
        <v>0</v>
      </c>
      <c r="E6" s="143"/>
      <c r="F6" s="139"/>
      <c r="G6" s="139"/>
      <c r="H6" s="139"/>
      <c r="I6" s="139"/>
      <c r="J6" s="139"/>
      <c r="K6" s="139"/>
      <c r="L6" s="137">
        <v>3</v>
      </c>
      <c r="M6" s="140" t="s">
        <v>79</v>
      </c>
      <c r="N6" s="145" t="e">
        <f>N30</f>
        <v>#NUM!</v>
      </c>
      <c r="V6" s="140">
        <v>10</v>
      </c>
      <c r="W6" s="145">
        <f>W5-W2</f>
        <v>0.94</v>
      </c>
    </row>
    <row r="7" spans="1:29" ht="15" customHeight="1" x14ac:dyDescent="0.25">
      <c r="B7" s="143"/>
      <c r="C7" s="143"/>
      <c r="E7" s="143"/>
      <c r="F7" s="142"/>
      <c r="G7" s="142"/>
      <c r="H7" s="142"/>
      <c r="I7" s="142"/>
      <c r="J7" s="142"/>
      <c r="K7" s="142"/>
      <c r="L7" s="137">
        <v>4</v>
      </c>
      <c r="M7" s="140" t="s">
        <v>80</v>
      </c>
      <c r="N7" s="145" t="e">
        <f>N39</f>
        <v>#NUM!</v>
      </c>
    </row>
    <row r="8" spans="1:29" ht="15" customHeight="1" x14ac:dyDescent="0.25">
      <c r="B8" s="147" t="s">
        <v>81</v>
      </c>
      <c r="C8" s="147" t="e">
        <f>E3</f>
        <v>#N/A</v>
      </c>
      <c r="E8" s="143"/>
      <c r="G8" s="142"/>
      <c r="H8" s="142"/>
      <c r="I8" s="142"/>
      <c r="J8" s="142"/>
      <c r="K8" s="142"/>
      <c r="L8" s="138">
        <v>5</v>
      </c>
      <c r="M8" s="140" t="s">
        <v>82</v>
      </c>
      <c r="N8" s="145" t="e">
        <f>N48</f>
        <v>#NUM!</v>
      </c>
    </row>
    <row r="9" spans="1:29" ht="15" customHeight="1" x14ac:dyDescent="0.25">
      <c r="B9" s="143" t="s">
        <v>83</v>
      </c>
      <c r="C9" s="143" t="e">
        <f>C6*C8</f>
        <v>#N/A</v>
      </c>
      <c r="E9" s="143"/>
      <c r="F9" s="142"/>
      <c r="G9" s="142"/>
      <c r="H9" s="142"/>
      <c r="I9" s="142"/>
      <c r="J9" s="142"/>
      <c r="K9" s="142"/>
      <c r="L9" s="138">
        <v>6</v>
      </c>
      <c r="M9" s="140" t="s">
        <v>84</v>
      </c>
      <c r="N9" s="145" t="e">
        <f>N57</f>
        <v>#NUM!</v>
      </c>
    </row>
    <row r="10" spans="1:29" ht="15" customHeight="1" x14ac:dyDescent="0.25">
      <c r="B10" s="143" t="s">
        <v>85</v>
      </c>
      <c r="C10" s="143" t="e">
        <f>C6-C9</f>
        <v>#N/A</v>
      </c>
      <c r="E10" s="143"/>
      <c r="F10" s="139"/>
      <c r="G10" s="148"/>
      <c r="H10" s="139"/>
      <c r="I10" s="139"/>
      <c r="J10" s="139"/>
      <c r="K10" s="139"/>
      <c r="L10" s="138">
        <v>7</v>
      </c>
      <c r="M10" s="140" t="s">
        <v>86</v>
      </c>
      <c r="N10" s="145" t="e">
        <f>N21</f>
        <v>#NUM!</v>
      </c>
    </row>
    <row r="11" spans="1:29" ht="15" customHeight="1" x14ac:dyDescent="0.15">
      <c r="B11" s="143"/>
      <c r="C11" s="143"/>
      <c r="E11" s="143"/>
      <c r="F11" s="143"/>
      <c r="G11" s="143"/>
      <c r="H11" s="143"/>
      <c r="I11" s="143"/>
      <c r="J11" s="143"/>
      <c r="K11" s="143"/>
      <c r="L11" s="149"/>
    </row>
    <row r="12" spans="1:29" ht="15" customHeight="1" x14ac:dyDescent="0.25">
      <c r="B12" s="147" t="s">
        <v>87</v>
      </c>
      <c r="C12" s="147" t="e">
        <f>E4</f>
        <v>#NUM!</v>
      </c>
      <c r="E12" s="143"/>
      <c r="F12" s="143"/>
      <c r="G12" s="143" t="s">
        <v>75</v>
      </c>
      <c r="H12" s="143" t="s">
        <v>77</v>
      </c>
      <c r="I12" s="138" t="s">
        <v>79</v>
      </c>
      <c r="J12" s="138" t="s">
        <v>80</v>
      </c>
      <c r="K12" s="143"/>
      <c r="M12" s="141" t="s">
        <v>75</v>
      </c>
      <c r="N12" s="141" t="e">
        <f>-0.062*LN(C5) + 0.9904</f>
        <v>#NUM!</v>
      </c>
    </row>
    <row r="13" spans="1:29" ht="15" customHeight="1" x14ac:dyDescent="0.25">
      <c r="B13" s="143" t="s">
        <v>88</v>
      </c>
      <c r="C13" s="143" t="e">
        <f>C6*C12</f>
        <v>#NUM!</v>
      </c>
      <c r="E13" s="143"/>
      <c r="F13" s="143">
        <v>1</v>
      </c>
      <c r="G13" s="143">
        <f>N14*$C$6/100</f>
        <v>0</v>
      </c>
      <c r="H13" s="143">
        <f>N23*$C$6/100</f>
        <v>0</v>
      </c>
      <c r="I13" s="143">
        <f>N32*$C$6/100</f>
        <v>0</v>
      </c>
      <c r="J13" s="143">
        <f>N41*$C$6/100</f>
        <v>0</v>
      </c>
      <c r="K13" s="143"/>
    </row>
    <row r="14" spans="1:29" ht="15" customHeight="1" x14ac:dyDescent="0.25">
      <c r="B14" s="143" t="s">
        <v>89</v>
      </c>
      <c r="C14" s="143" t="e">
        <f>C9*C12</f>
        <v>#N/A</v>
      </c>
      <c r="E14" s="143"/>
      <c r="F14" s="138">
        <v>10</v>
      </c>
      <c r="G14" s="143">
        <f>N15*$C$6/100</f>
        <v>0</v>
      </c>
      <c r="H14" s="143">
        <f>N24*$C$6/100</f>
        <v>0</v>
      </c>
      <c r="I14" s="143">
        <f>N33*$C$6/100</f>
        <v>0</v>
      </c>
      <c r="J14" s="143">
        <f>N42*$C$6/100</f>
        <v>0</v>
      </c>
      <c r="K14" s="143"/>
      <c r="M14" s="140">
        <v>1</v>
      </c>
      <c r="N14" s="145">
        <v>0.99</v>
      </c>
    </row>
    <row r="15" spans="1:29" ht="15" customHeight="1" x14ac:dyDescent="0.25">
      <c r="B15" s="143" t="s">
        <v>85</v>
      </c>
      <c r="C15" s="143" t="e">
        <f>C13-C14</f>
        <v>#NUM!</v>
      </c>
      <c r="E15" s="143"/>
      <c r="F15" s="138">
        <v>30</v>
      </c>
      <c r="G15" s="143">
        <f>N16*$C$6/100</f>
        <v>0</v>
      </c>
      <c r="H15" s="143">
        <f>N25*$C$6/100</f>
        <v>0</v>
      </c>
      <c r="I15" s="143">
        <f>N34*$C$6/100</f>
        <v>0</v>
      </c>
      <c r="J15" s="143">
        <f>N43*$C$6/100</f>
        <v>0</v>
      </c>
      <c r="K15" s="143"/>
      <c r="M15" s="140">
        <v>10</v>
      </c>
      <c r="N15" s="145">
        <v>0.85</v>
      </c>
    </row>
    <row r="16" spans="1:29" s="150" customFormat="1" ht="15" customHeight="1" x14ac:dyDescent="0.15">
      <c r="A16" s="138"/>
      <c r="B16" s="143"/>
      <c r="C16" s="143"/>
      <c r="D16" s="143"/>
      <c r="E16" s="138"/>
      <c r="F16" s="138"/>
      <c r="G16" s="138"/>
      <c r="H16" s="138"/>
      <c r="I16" s="138"/>
      <c r="J16" s="138"/>
      <c r="K16" s="138"/>
      <c r="L16" s="138"/>
      <c r="M16" s="140">
        <v>30</v>
      </c>
      <c r="N16" s="145">
        <v>0.78</v>
      </c>
      <c r="O16" s="140"/>
      <c r="P16" s="140"/>
      <c r="Q16" s="140"/>
      <c r="R16" s="140"/>
      <c r="S16" s="140"/>
      <c r="T16" s="140"/>
      <c r="U16" s="140"/>
      <c r="V16" s="140"/>
      <c r="W16" s="140"/>
      <c r="X16" s="140"/>
      <c r="Y16" s="140"/>
      <c r="Z16" s="140"/>
      <c r="AA16" s="140"/>
      <c r="AB16" s="140"/>
      <c r="AC16" s="140"/>
    </row>
    <row r="17" spans="1:29" s="150" customFormat="1" ht="15" customHeight="1" x14ac:dyDescent="0.15">
      <c r="A17" s="138"/>
      <c r="B17" s="143"/>
      <c r="C17" s="143"/>
      <c r="D17" s="143"/>
      <c r="E17" s="138"/>
      <c r="F17" s="138"/>
      <c r="G17" s="138"/>
      <c r="H17" s="138"/>
      <c r="I17" s="138"/>
      <c r="J17" s="138"/>
      <c r="K17" s="138"/>
      <c r="L17" s="138"/>
      <c r="M17" s="140"/>
      <c r="N17" s="140"/>
      <c r="O17" s="140"/>
      <c r="P17" s="140"/>
      <c r="Q17" s="140"/>
      <c r="R17" s="140"/>
      <c r="S17" s="140"/>
      <c r="T17" s="140"/>
      <c r="U17" s="140"/>
      <c r="V17" s="140"/>
      <c r="W17" s="140"/>
      <c r="X17" s="140"/>
      <c r="Y17" s="140"/>
      <c r="Z17" s="140"/>
      <c r="AA17" s="140"/>
      <c r="AB17" s="140"/>
      <c r="AC17" s="140"/>
    </row>
    <row r="18" spans="1:29" s="150" customFormat="1" ht="15" customHeight="1" x14ac:dyDescent="0.15">
      <c r="A18" s="138"/>
      <c r="B18" s="143"/>
      <c r="C18" s="143"/>
      <c r="D18" s="143"/>
      <c r="E18" s="138"/>
      <c r="F18" s="138"/>
      <c r="G18" s="138"/>
      <c r="H18" s="138"/>
      <c r="I18" s="138"/>
      <c r="J18" s="138"/>
      <c r="K18" s="138"/>
      <c r="L18" s="149"/>
      <c r="M18" s="140"/>
      <c r="N18" s="140"/>
      <c r="O18" s="140"/>
      <c r="P18" s="140"/>
      <c r="Q18" s="140"/>
      <c r="R18" s="140"/>
      <c r="S18" s="140"/>
      <c r="T18" s="140"/>
      <c r="U18" s="140"/>
      <c r="V18" s="140"/>
      <c r="W18" s="140"/>
      <c r="X18" s="140"/>
      <c r="Y18" s="140"/>
      <c r="Z18" s="140"/>
      <c r="AA18" s="140"/>
      <c r="AB18" s="140"/>
      <c r="AC18" s="140"/>
    </row>
    <row r="19" spans="1:29" ht="15" customHeight="1" x14ac:dyDescent="0.15">
      <c r="L19" s="149"/>
    </row>
    <row r="20" spans="1:29" ht="15" customHeight="1" x14ac:dyDescent="0.15">
      <c r="L20" s="149"/>
    </row>
    <row r="21" spans="1:29" ht="15" customHeight="1" x14ac:dyDescent="0.25">
      <c r="M21" s="141" t="s">
        <v>77</v>
      </c>
      <c r="N21" s="141" t="e">
        <f xml:space="preserve"> -0.067*LN(C5) + 0.9852</f>
        <v>#NUM!</v>
      </c>
    </row>
    <row r="23" spans="1:29" ht="15" customHeight="1" x14ac:dyDescent="0.25">
      <c r="M23" s="140">
        <v>1</v>
      </c>
      <c r="N23" s="145">
        <v>0.98504999999999998</v>
      </c>
    </row>
    <row r="24" spans="1:29" ht="15" customHeight="1" x14ac:dyDescent="0.25">
      <c r="M24" s="140">
        <v>10</v>
      </c>
      <c r="N24" s="145">
        <v>0.83129999999999993</v>
      </c>
    </row>
    <row r="25" spans="1:29" ht="15" customHeight="1" x14ac:dyDescent="0.25">
      <c r="M25" s="140">
        <v>30</v>
      </c>
      <c r="N25" s="145">
        <v>0.75660000000000005</v>
      </c>
    </row>
    <row r="30" spans="1:29" ht="15" customHeight="1" x14ac:dyDescent="0.25">
      <c r="M30" s="141" t="s">
        <v>79</v>
      </c>
      <c r="N30" s="141" t="e">
        <f>-0.066*LN(C5) + 0.9655</f>
        <v>#NUM!</v>
      </c>
      <c r="O30" s="140">
        <v>0.98</v>
      </c>
    </row>
    <row r="32" spans="1:29" ht="15" customHeight="1" x14ac:dyDescent="0.25">
      <c r="M32" s="140">
        <v>1</v>
      </c>
      <c r="N32" s="145">
        <f>N23*$O$30</f>
        <v>0.96534900000000001</v>
      </c>
    </row>
    <row r="33" spans="13:15" ht="15" customHeight="1" x14ac:dyDescent="0.25">
      <c r="M33" s="140">
        <v>10</v>
      </c>
      <c r="N33" s="145">
        <f>N24*$O$30</f>
        <v>0.8146739999999999</v>
      </c>
    </row>
    <row r="34" spans="13:15" ht="15" customHeight="1" x14ac:dyDescent="0.25">
      <c r="M34" s="140">
        <v>30</v>
      </c>
      <c r="N34" s="145">
        <f>N25*$O$30</f>
        <v>0.74146800000000002</v>
      </c>
    </row>
    <row r="39" spans="13:15" ht="15" customHeight="1" x14ac:dyDescent="0.25">
      <c r="M39" s="141" t="s">
        <v>80</v>
      </c>
      <c r="N39" s="141" t="e">
        <f>-0.074*LN(C5) + 0.9268</f>
        <v>#NUM!</v>
      </c>
      <c r="O39" s="140">
        <v>0.95</v>
      </c>
    </row>
    <row r="41" spans="13:15" ht="15" customHeight="1" x14ac:dyDescent="0.25">
      <c r="M41" s="140">
        <v>1</v>
      </c>
      <c r="N41" s="145">
        <v>0.92643952499999993</v>
      </c>
    </row>
    <row r="42" spans="13:15" ht="15" customHeight="1" x14ac:dyDescent="0.25">
      <c r="M42" s="140">
        <v>10</v>
      </c>
      <c r="N42" s="145">
        <v>0.75649999999999995</v>
      </c>
    </row>
    <row r="43" spans="13:15" ht="15" customHeight="1" x14ac:dyDescent="0.25">
      <c r="M43" s="140">
        <v>30</v>
      </c>
      <c r="N43" s="145">
        <v>0.67313999999999996</v>
      </c>
    </row>
    <row r="48" spans="13:15" ht="15" customHeight="1" x14ac:dyDescent="0.25">
      <c r="M48" s="141" t="s">
        <v>82</v>
      </c>
      <c r="N48" s="141" t="e">
        <f>-0.062*LN(C5) + 0.97</f>
        <v>#NUM!</v>
      </c>
      <c r="O48" s="140">
        <v>0.95</v>
      </c>
    </row>
    <row r="50" spans="13:14" ht="15" customHeight="1" x14ac:dyDescent="0.25">
      <c r="M50" s="140">
        <v>1</v>
      </c>
      <c r="N50" s="145">
        <v>0.92643952499999993</v>
      </c>
    </row>
    <row r="51" spans="13:14" ht="15" customHeight="1" x14ac:dyDescent="0.25">
      <c r="M51" s="140">
        <v>10</v>
      </c>
      <c r="N51" s="145">
        <v>0.75649999999999995</v>
      </c>
    </row>
    <row r="52" spans="13:14" ht="15" customHeight="1" x14ac:dyDescent="0.25">
      <c r="M52" s="140">
        <v>30</v>
      </c>
      <c r="N52" s="145">
        <v>0.67313999999999996</v>
      </c>
    </row>
    <row r="57" spans="13:14" ht="15" customHeight="1" x14ac:dyDescent="0.25">
      <c r="M57" s="141" t="s">
        <v>84</v>
      </c>
      <c r="N57" s="141" t="e">
        <f>-0.065*LN(C5) + 0.99999999</f>
        <v>#NUM!</v>
      </c>
    </row>
    <row r="59" spans="13:14" ht="15" customHeight="1" x14ac:dyDescent="0.25">
      <c r="M59" s="140">
        <v>1</v>
      </c>
      <c r="N59" s="145">
        <v>0.92643952499999993</v>
      </c>
    </row>
    <row r="60" spans="13:14" ht="15" customHeight="1" x14ac:dyDescent="0.25">
      <c r="M60" s="140">
        <v>10</v>
      </c>
      <c r="N60" s="145">
        <v>0.75649999999999995</v>
      </c>
    </row>
    <row r="61" spans="13:14" ht="15" customHeight="1" x14ac:dyDescent="0.25">
      <c r="M61" s="140">
        <v>30</v>
      </c>
      <c r="N61" s="145">
        <v>0.67313999999999996</v>
      </c>
    </row>
    <row r="64" spans="13:14" ht="15" customHeight="1" x14ac:dyDescent="0.25">
      <c r="M64" s="141"/>
      <c r="N64" s="141"/>
    </row>
    <row r="66" spans="14:14" ht="15" customHeight="1" x14ac:dyDescent="0.25">
      <c r="N66" s="145"/>
    </row>
    <row r="67" spans="14:14" ht="15" customHeight="1" x14ac:dyDescent="0.25">
      <c r="N67" s="145"/>
    </row>
    <row r="68" spans="14:14" ht="15" customHeight="1" x14ac:dyDescent="0.25">
      <c r="N68" s="145"/>
    </row>
  </sheetData>
  <dataValidations disablePrompts="1" count="1">
    <dataValidation type="list" allowBlank="1" showInputMessage="1" showErrorMessage="1" sqref="C3">
      <formula1>$M$4:$M$9</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3"/>
  <sheetViews>
    <sheetView zoomScale="90" zoomScaleNormal="90" workbookViewId="0">
      <selection activeCell="J15" sqref="J15"/>
    </sheetView>
  </sheetViews>
  <sheetFormatPr defaultColWidth="10.42578125" defaultRowHeight="12.75" customHeight="1" x14ac:dyDescent="0.15"/>
  <cols>
    <col min="1" max="1" width="3.5703125" style="66" customWidth="1"/>
    <col min="2" max="2" width="4.42578125" style="208" customWidth="1"/>
    <col min="3" max="3" width="8" style="66" customWidth="1"/>
    <col min="4" max="4" width="10" style="66" customWidth="1"/>
    <col min="5" max="5" width="10.85546875" style="66" customWidth="1"/>
    <col min="6" max="6" width="4" style="66" customWidth="1"/>
    <col min="7" max="7" width="16.140625" style="66" customWidth="1"/>
    <col min="8" max="8" width="7.85546875" style="66" customWidth="1"/>
    <col min="9" max="9" width="17.85546875" style="66" customWidth="1"/>
    <col min="10" max="10" width="20.140625" style="66" customWidth="1"/>
    <col min="11" max="11" width="2.140625" style="66" customWidth="1"/>
    <col min="12" max="12" width="0.85546875" style="66" customWidth="1"/>
    <col min="13" max="13" width="3.140625" style="66" customWidth="1"/>
    <col min="14" max="14" width="34.85546875" style="66" customWidth="1"/>
    <col min="15" max="15" width="16" style="66" customWidth="1"/>
    <col min="16" max="16" width="16.42578125" style="66" customWidth="1"/>
    <col min="17" max="17" width="11.5703125" style="66" customWidth="1"/>
    <col min="18" max="18" width="3.140625" style="66" customWidth="1"/>
    <col min="19" max="19" width="3.5703125" style="66" customWidth="1"/>
    <col min="20" max="20" width="10.42578125" style="66"/>
    <col min="21" max="21" width="10.85546875" style="66" bestFit="1" customWidth="1"/>
    <col min="22" max="16384" width="10.42578125" style="66"/>
  </cols>
  <sheetData>
    <row r="1" spans="1:27" ht="12.75" customHeight="1" x14ac:dyDescent="0.2">
      <c r="A1" s="49"/>
      <c r="B1" s="204"/>
      <c r="C1" s="187"/>
      <c r="D1" s="187"/>
      <c r="E1" s="187"/>
      <c r="F1" s="187"/>
      <c r="G1" s="187"/>
      <c r="H1" s="187"/>
      <c r="I1" s="187"/>
      <c r="J1" s="188"/>
      <c r="K1" s="50"/>
      <c r="L1" s="50"/>
      <c r="M1" s="50"/>
      <c r="N1" s="3"/>
      <c r="O1" s="2"/>
      <c r="P1" s="36"/>
      <c r="Q1" s="36"/>
      <c r="R1" s="36"/>
      <c r="S1" s="36"/>
    </row>
    <row r="2" spans="1:27" ht="12.75" customHeight="1" x14ac:dyDescent="0.15">
      <c r="A2" s="50"/>
      <c r="B2" s="264" t="str">
        <f>Beskrivelse!C13</f>
        <v>Udskiftning af brændselskedel i konventionel slagtekyllingestald</v>
      </c>
      <c r="C2" s="264"/>
      <c r="D2" s="264"/>
      <c r="E2" s="264"/>
      <c r="F2" s="264"/>
      <c r="G2" s="264"/>
      <c r="H2" s="264"/>
      <c r="I2" s="264"/>
      <c r="J2" s="239"/>
      <c r="K2" s="259" t="str">
        <f>Forside!I2</f>
        <v>Standardløsningskatalog for udskiftning af brændselskedler i stalde - Tilskud til energibesparelser og energieffektiviseringer i erhvervsvirksomheder</v>
      </c>
      <c r="L2" s="259"/>
      <c r="M2" s="259"/>
      <c r="N2" s="259"/>
      <c r="O2" s="259"/>
      <c r="P2" s="237"/>
      <c r="Q2" s="7"/>
      <c r="R2" s="7"/>
      <c r="S2" s="7"/>
    </row>
    <row r="3" spans="1:27" ht="24" customHeight="1" x14ac:dyDescent="0.25">
      <c r="A3" s="52"/>
      <c r="B3" s="264"/>
      <c r="C3" s="264"/>
      <c r="D3" s="264"/>
      <c r="E3" s="264"/>
      <c r="F3" s="264"/>
      <c r="G3" s="264"/>
      <c r="H3" s="264"/>
      <c r="I3" s="264"/>
      <c r="J3" s="239"/>
      <c r="K3" s="259"/>
      <c r="L3" s="259"/>
      <c r="M3" s="259"/>
      <c r="N3" s="259"/>
      <c r="O3" s="259"/>
      <c r="P3" s="237"/>
      <c r="Q3" s="10" t="str">
        <f>Forside!P4</f>
        <v>Vers. 1  11.03.2022</v>
      </c>
      <c r="R3" s="10"/>
      <c r="S3" s="2"/>
    </row>
    <row r="4" spans="1:27" ht="13.35" customHeight="1" x14ac:dyDescent="0.25">
      <c r="A4" s="52"/>
      <c r="B4" s="264"/>
      <c r="C4" s="264"/>
      <c r="D4" s="264"/>
      <c r="E4" s="264"/>
      <c r="F4" s="264"/>
      <c r="G4" s="264"/>
      <c r="H4" s="264"/>
      <c r="I4" s="264"/>
      <c r="J4" s="50"/>
      <c r="K4" s="50"/>
      <c r="L4" s="50"/>
      <c r="M4" s="6"/>
      <c r="N4" s="2"/>
      <c r="O4" s="2"/>
      <c r="P4" s="2"/>
      <c r="Q4" s="2"/>
      <c r="R4" s="2"/>
      <c r="S4" s="2"/>
    </row>
    <row r="5" spans="1:27" ht="12.75" customHeight="1" x14ac:dyDescent="0.15">
      <c r="A5" s="55"/>
      <c r="B5" s="205"/>
      <c r="C5" s="55"/>
      <c r="D5" s="55"/>
      <c r="E5" s="55"/>
      <c r="F5" s="55"/>
      <c r="G5" s="55"/>
      <c r="H5" s="55"/>
      <c r="I5" s="55"/>
      <c r="J5" s="55"/>
      <c r="K5" s="55"/>
      <c r="L5" s="55"/>
      <c r="M5" s="55"/>
      <c r="N5" s="55"/>
      <c r="O5" s="55"/>
      <c r="P5" s="55"/>
      <c r="Q5" s="55"/>
      <c r="R5" s="55"/>
      <c r="S5" s="55"/>
    </row>
    <row r="6" spans="1:27" ht="11.25" x14ac:dyDescent="0.15">
      <c r="A6" s="2"/>
      <c r="B6" s="271" t="s">
        <v>7</v>
      </c>
      <c r="C6" s="271"/>
      <c r="D6" s="271"/>
      <c r="E6" s="271"/>
      <c r="F6" s="271"/>
      <c r="G6" s="271"/>
      <c r="H6" s="271"/>
      <c r="I6" s="271"/>
      <c r="J6" s="271"/>
      <c r="K6" s="271"/>
      <c r="L6" s="271"/>
      <c r="M6" s="271"/>
      <c r="N6" s="271"/>
      <c r="O6" s="56"/>
      <c r="P6" s="50"/>
      <c r="Q6" s="50"/>
      <c r="R6" s="50"/>
      <c r="S6" s="50"/>
    </row>
    <row r="7" spans="1:27" ht="12.75" customHeight="1" x14ac:dyDescent="0.25">
      <c r="A7" s="2"/>
      <c r="B7" s="271"/>
      <c r="C7" s="271"/>
      <c r="D7" s="271"/>
      <c r="E7" s="271"/>
      <c r="F7" s="271"/>
      <c r="G7" s="271"/>
      <c r="H7" s="271"/>
      <c r="I7" s="271"/>
      <c r="J7" s="271"/>
      <c r="K7" s="271"/>
      <c r="L7" s="271"/>
      <c r="M7" s="271"/>
      <c r="N7" s="271"/>
      <c r="O7" s="59"/>
      <c r="P7" s="59"/>
      <c r="Q7" s="59"/>
      <c r="R7" s="59"/>
      <c r="S7" s="57"/>
    </row>
    <row r="8" spans="1:27" ht="12.75" customHeight="1" x14ac:dyDescent="0.25">
      <c r="A8" s="2"/>
      <c r="B8" s="175" t="s">
        <v>8</v>
      </c>
      <c r="C8" s="268" t="s">
        <v>149</v>
      </c>
      <c r="D8" s="268"/>
      <c r="E8" s="268"/>
      <c r="F8" s="268"/>
      <c r="G8" s="268"/>
      <c r="H8" s="268"/>
      <c r="I8" s="268"/>
      <c r="J8" s="268"/>
      <c r="K8" s="268"/>
      <c r="L8" s="268"/>
      <c r="M8" s="268"/>
      <c r="N8" s="268"/>
      <c r="O8" s="190"/>
      <c r="P8" s="216"/>
      <c r="Q8" s="61"/>
      <c r="R8" s="62">
        <f>IF(Q8="",0,IF(Q8='Grise - regneark'!B10,1,-1))</f>
        <v>0</v>
      </c>
      <c r="S8" s="57"/>
    </row>
    <row r="9" spans="1:27" ht="12.75" customHeight="1" x14ac:dyDescent="0.25">
      <c r="A9" s="2"/>
      <c r="B9" s="175" t="s">
        <v>8</v>
      </c>
      <c r="C9" s="244" t="s">
        <v>142</v>
      </c>
      <c r="D9" s="190"/>
      <c r="E9" s="190"/>
      <c r="F9" s="198"/>
      <c r="G9" s="190"/>
      <c r="H9" s="190"/>
      <c r="I9" s="190"/>
      <c r="J9" s="190"/>
      <c r="K9" s="190"/>
      <c r="L9" s="216"/>
      <c r="M9" s="190"/>
      <c r="N9" s="190"/>
      <c r="O9" s="216"/>
      <c r="P9" s="216"/>
      <c r="Q9" s="61"/>
      <c r="R9" s="62">
        <f>IF(Q9="",0,IF(Q9='Grise - regneark'!B10,1,-1))</f>
        <v>0</v>
      </c>
      <c r="S9" s="57"/>
    </row>
    <row r="10" spans="1:27" ht="5.0999999999999996" customHeight="1" x14ac:dyDescent="0.25">
      <c r="A10" s="2"/>
      <c r="B10" s="175"/>
      <c r="C10" s="63"/>
      <c r="D10" s="63"/>
      <c r="E10" s="63"/>
      <c r="F10" s="63"/>
      <c r="G10" s="63"/>
      <c r="H10" s="63"/>
      <c r="I10" s="63"/>
      <c r="J10" s="63"/>
      <c r="K10" s="63"/>
      <c r="L10" s="63"/>
      <c r="M10" s="63"/>
      <c r="N10" s="190"/>
      <c r="O10" s="190"/>
      <c r="P10" s="190"/>
      <c r="Q10" s="190"/>
      <c r="R10" s="216"/>
      <c r="S10" s="57"/>
    </row>
    <row r="11" spans="1:27" ht="12.75" customHeight="1" x14ac:dyDescent="0.25">
      <c r="A11" s="2"/>
      <c r="B11" s="175" t="s">
        <v>8</v>
      </c>
      <c r="C11" s="90" t="str">
        <f>IF(J11=0,"Spørgsmål om afgrænsning er ikke besvaret",IF(J11=1,"Projektet er omfattet af standardløsningen","Projektet er IKKE omfattet af standardløsningen"))</f>
        <v>Spørgsmål om afgrænsning er ikke besvaret</v>
      </c>
      <c r="D11" s="63"/>
      <c r="E11" s="63"/>
      <c r="F11" s="63"/>
      <c r="G11" s="63"/>
      <c r="H11" s="63"/>
      <c r="I11" s="63"/>
      <c r="J11" s="62">
        <f>MIN(R8:R9)</f>
        <v>0</v>
      </c>
      <c r="K11" s="63"/>
      <c r="L11" s="63"/>
      <c r="M11" s="63"/>
      <c r="N11" s="190"/>
      <c r="O11" s="190"/>
      <c r="P11" s="190"/>
      <c r="Q11" s="190"/>
      <c r="R11" s="216"/>
      <c r="S11" s="57"/>
    </row>
    <row r="12" spans="1:27" ht="15.75" customHeight="1" x14ac:dyDescent="0.25">
      <c r="A12" s="50"/>
      <c r="B12" s="206"/>
      <c r="C12" s="56"/>
      <c r="D12" s="56"/>
      <c r="E12" s="56"/>
      <c r="F12" s="56"/>
      <c r="G12" s="56"/>
      <c r="H12" s="56"/>
      <c r="I12" s="56"/>
      <c r="J12" s="56"/>
      <c r="K12" s="65"/>
      <c r="L12" s="65"/>
      <c r="M12" s="50"/>
      <c r="N12" s="57"/>
      <c r="O12" s="57"/>
      <c r="P12" s="57"/>
      <c r="Q12" s="57"/>
      <c r="R12" s="57"/>
      <c r="S12" s="57"/>
    </row>
    <row r="13" spans="1:27" s="69" customFormat="1" ht="18" customHeight="1" x14ac:dyDescent="0.25">
      <c r="A13" s="67"/>
      <c r="B13" s="264" t="s">
        <v>10</v>
      </c>
      <c r="C13" s="264"/>
      <c r="D13" s="264"/>
      <c r="E13" s="264"/>
      <c r="F13" s="264"/>
      <c r="G13" s="264"/>
      <c r="H13" s="264"/>
      <c r="I13" s="264"/>
      <c r="J13" s="264"/>
      <c r="K13" s="264"/>
      <c r="L13" s="215"/>
      <c r="M13" s="67"/>
      <c r="N13" s="68" t="s">
        <v>11</v>
      </c>
      <c r="O13" s="57"/>
      <c r="P13" s="57"/>
      <c r="Q13" s="57"/>
      <c r="R13" s="57"/>
      <c r="S13" s="57"/>
      <c r="T13" s="66"/>
      <c r="U13" s="66"/>
      <c r="V13" s="66"/>
      <c r="W13" s="66"/>
      <c r="X13" s="66"/>
      <c r="Y13" s="66"/>
      <c r="Z13" s="66"/>
      <c r="AA13" s="66"/>
    </row>
    <row r="14" spans="1:27" ht="18" x14ac:dyDescent="0.25">
      <c r="A14" s="50"/>
      <c r="B14" s="197"/>
      <c r="C14" s="71"/>
      <c r="D14" s="71"/>
      <c r="E14" s="71"/>
      <c r="F14" s="71"/>
      <c r="G14" s="194"/>
      <c r="H14" s="194"/>
      <c r="I14" s="194"/>
      <c r="J14" s="194"/>
      <c r="K14" s="73"/>
      <c r="L14" s="73"/>
      <c r="M14" s="50"/>
      <c r="N14" s="178" t="s">
        <v>105</v>
      </c>
      <c r="O14" s="175" t="str">
        <f>IF(J25="","",J25)</f>
        <v/>
      </c>
      <c r="P14" s="178"/>
      <c r="Q14" s="216"/>
      <c r="R14" s="216"/>
      <c r="S14" s="51"/>
    </row>
    <row r="15" spans="1:27" ht="18" x14ac:dyDescent="0.25">
      <c r="A15" s="50"/>
      <c r="B15" s="72" t="s">
        <v>14</v>
      </c>
      <c r="C15" s="273" t="s">
        <v>137</v>
      </c>
      <c r="D15" s="273"/>
      <c r="E15" s="273"/>
      <c r="F15" s="273"/>
      <c r="G15" s="273"/>
      <c r="H15" s="273"/>
      <c r="I15" s="274"/>
      <c r="J15" s="78"/>
      <c r="K15" s="73"/>
      <c r="L15" s="73"/>
      <c r="M15" s="50"/>
      <c r="N15" s="178" t="s">
        <v>12</v>
      </c>
      <c r="O15" s="173" t="str">
        <f>IF(J25="","-",IF(J15='Kyllinge - regneark'!$C$13,$J$22/$J$30/1000,IF(J15='Kyllinge - regneark'!$B$13,$H$22/$J$30/1000,"-")))</f>
        <v>-</v>
      </c>
      <c r="P15" s="220" t="s">
        <v>13</v>
      </c>
      <c r="Q15" s="216"/>
      <c r="R15" s="216"/>
      <c r="S15" s="51"/>
    </row>
    <row r="16" spans="1:27" ht="22.5" customHeight="1" x14ac:dyDescent="0.25">
      <c r="A16" s="50"/>
      <c r="B16" s="72"/>
      <c r="C16" s="191"/>
      <c r="D16" s="191"/>
      <c r="E16" s="191"/>
      <c r="F16" s="199"/>
      <c r="G16" s="191"/>
      <c r="H16" s="191"/>
      <c r="I16" s="126"/>
      <c r="J16" s="126"/>
      <c r="K16" s="126"/>
      <c r="L16" s="126"/>
      <c r="M16" s="50"/>
      <c r="N16" s="240"/>
      <c r="O16" s="75"/>
      <c r="P16" s="218"/>
      <c r="Q16" s="216"/>
      <c r="R16" s="216"/>
      <c r="S16" s="51"/>
    </row>
    <row r="17" spans="1:19" ht="18" x14ac:dyDescent="0.25">
      <c r="A17" s="50"/>
      <c r="B17" s="72" t="s">
        <v>131</v>
      </c>
      <c r="C17" s="273" t="s">
        <v>129</v>
      </c>
      <c r="D17" s="273"/>
      <c r="E17" s="273"/>
      <c r="F17" s="273"/>
      <c r="G17" s="273"/>
      <c r="H17" s="273"/>
      <c r="I17" s="273"/>
      <c r="J17" s="126"/>
      <c r="K17" s="73"/>
      <c r="L17" s="73"/>
      <c r="M17" s="50"/>
      <c r="N17" s="238" t="s">
        <v>106</v>
      </c>
      <c r="O17" s="179" t="str">
        <f>IF(AND(J33="Varmepumpe"),"El",IF(AND(J33="Fjernvarme"),"Fjernvarme",IF(AND(J33="Brændselskedel"),"Ny brændselstype","")))</f>
        <v/>
      </c>
      <c r="P17" s="220"/>
      <c r="Q17" s="216"/>
      <c r="R17" s="216"/>
      <c r="S17" s="51"/>
    </row>
    <row r="18" spans="1:19" ht="18" x14ac:dyDescent="0.25">
      <c r="A18" s="50"/>
      <c r="B18" s="197"/>
      <c r="C18" s="272" t="str">
        <f>IF(J15="","",IF(J15='Kyllinge - regneark'!B13,"Type af kyllinger","Type af kyllinger"))</f>
        <v/>
      </c>
      <c r="D18" s="272"/>
      <c r="E18" s="265" t="str">
        <f>IF(J15="","",IF(J15='Kyllinge - regneark'!B13,"Årlige antal","Antal"))</f>
        <v/>
      </c>
      <c r="F18" s="265"/>
      <c r="G18" s="211" t="str">
        <f>IF(J15="","",IF(J15='Kyllinge - regneark'!B13,"Varmeveksler","Varmeveksler"))</f>
        <v/>
      </c>
      <c r="H18" s="265" t="str">
        <f>IF(J15="","",IF(J15='Kyllinge - regneark'!B13,"Varmebehov[kWh]","Årlige antal"))</f>
        <v/>
      </c>
      <c r="I18" s="265"/>
      <c r="J18" s="165" t="str">
        <f>IF(J15="","",IF(J15='Kyllinge - regneark'!C13,"Varmebehov[kWh]",""))</f>
        <v/>
      </c>
      <c r="K18" s="73"/>
      <c r="L18" s="73"/>
      <c r="M18" s="50"/>
      <c r="N18" s="178" t="s">
        <v>15</v>
      </c>
      <c r="O18" s="173" t="str">
        <f>IF(AND(I38="",J35=""),"-",IF(J30="","-",IF(AND(J33="Brændselskedel"),O15*J30/I38,IF(AND(J33="Fjernvarme"),O15*J30*100%,IF(AND(J33="Varmepumpe"),O15*J30/J35,"-")))))</f>
        <v>-</v>
      </c>
      <c r="P18" s="220" t="s">
        <v>13</v>
      </c>
      <c r="Q18" s="216"/>
      <c r="R18" s="216"/>
      <c r="S18" s="51"/>
    </row>
    <row r="19" spans="1:19" ht="18" x14ac:dyDescent="0.25">
      <c r="A19" s="50"/>
      <c r="B19" s="72"/>
      <c r="C19" s="266"/>
      <c r="D19" s="267"/>
      <c r="E19" s="266"/>
      <c r="F19" s="306"/>
      <c r="G19" s="212"/>
      <c r="H19" s="269" t="b">
        <f>IF($J$15='Kyllinge - regneark'!$B$13,IF(C19="","",IF(AND(C19='Kyllinge - regneark'!$B$16,G19="Nej"),E19*'Kyllinge - regneark'!$T$20,IF(AND(C19='Kyllinge - regneark'!$B$16,G19="Ja"),E19*'Kyllinge - regneark'!$T$21,IF(AND(C19='Kyllinge - regneark'!$C$16,G19="Nej"),E19*'Kyllinge - regneark'!$T$22,IF(AND(C19='Kyllinge - regneark'!$C$16,G19="Ja"),E19*'Kyllinge - regneark'!$T$23,IF(AND(C19='Kyllinge - regneark'!$D$16,G19="Nej"),E19*'Kyllinge - regneark'!$T$24,IF(AND(C19='Kyllinge - regneark'!$D$16,G19="Ja"),E19*'Kyllinge - regneark'!$T$25,""))))))),IF($J$15='Kyllinge - regneark'!$C$13,IF(C19="","",IF(C19='Kyllinge - regneark'!$B$16,E19*'Kyllinge - regneark'!$I$11,IF(C19='Kyllinge - regneark'!$C$16,E19*'Kyllinge - regneark'!$I$12,"")))))</f>
        <v>0</v>
      </c>
      <c r="I19" s="270"/>
      <c r="J19" s="194" t="b">
        <f>IF($J$15='Kyllinge - regneark'!$C$13,IF(AND(C19='Kyllinge - regneark'!$B$16,G19="Nej"),H19*'Kyllinge - regneark'!$T$20,IF(AND(C19='Kyllinge - regneark'!$B$16,G19="Ja"),H19*'Kyllinge - regneark'!$T$21,IF(AND(C19='Kyllinge - regneark'!$C$16,G19="Nej"),H19*'Kyllinge - regneark'!$T$22,IF(AND(C19='Kyllinge - regneark'!$C$16,G19="Ja"),H19*'Kyllinge - regneark'!$T$23,"")))))</f>
        <v>0</v>
      </c>
      <c r="K19" s="73"/>
      <c r="L19" s="73"/>
      <c r="M19" s="50"/>
      <c r="N19" s="220"/>
      <c r="O19" s="220"/>
      <c r="P19" s="220"/>
      <c r="Q19" s="216"/>
      <c r="R19" s="216"/>
      <c r="S19" s="51"/>
    </row>
    <row r="20" spans="1:19" ht="18.75" thickBot="1" x14ac:dyDescent="0.3">
      <c r="A20" s="50"/>
      <c r="B20" s="72"/>
      <c r="C20" s="266"/>
      <c r="D20" s="267"/>
      <c r="E20" s="266"/>
      <c r="F20" s="306"/>
      <c r="G20" s="212"/>
      <c r="H20" s="269" t="b">
        <f>IF($J$15='Kyllinge - regneark'!$B$13,IF(C20="","",IF(AND(C20='Kyllinge - regneark'!$B$16,G20="Nej"),E20*'Kyllinge - regneark'!$T$20,IF(AND(C20='Kyllinge - regneark'!$B$16,G20="Ja"),E20*'Kyllinge - regneark'!$T$21,IF(AND(C20='Kyllinge - regneark'!$C$16,G20="Nej"),E20*'Kyllinge - regneark'!$T$22,IF(AND(C20='Kyllinge - regneark'!$C$16,G20="Ja"),E20*'Kyllinge - regneark'!$T$23,IF(AND(C20='Kyllinge - regneark'!$D$16,G20="Nej"),E20*'Kyllinge - regneark'!$T$24,IF(AND(C20='Kyllinge - regneark'!$D$16,G20="Ja"),E20*'Kyllinge - regneark'!$T$25,""))))))),IF($J$15='Kyllinge - regneark'!$C$13,IF(C20="","",IF(C20='Kyllinge - regneark'!$B$16,E20*'Kyllinge - regneark'!$I$11,IF(C20='Kyllinge - regneark'!$C$16,E20*'Kyllinge - regneark'!$I$12,"")))))</f>
        <v>0</v>
      </c>
      <c r="I20" s="270"/>
      <c r="J20" s="221" t="b">
        <f>IF($J$15='Kyllinge - regneark'!$C$13,IF(AND(C20='Kyllinge - regneark'!$B$16,G20="Nej"),H20*'Kyllinge - regneark'!$T$20,IF(AND(C20='Kyllinge - regneark'!$B$16,G20="Ja"),H20*'Kyllinge - regneark'!$T$21,IF(AND(C20='Kyllinge - regneark'!$C$16,G20="Nej"),H20*'Kyllinge - regneark'!$T$22,IF(AND(C20='Kyllinge - regneark'!$C$16,G20="Ja"),H20*'Kyllinge - regneark'!$T$23,"")))))</f>
        <v>0</v>
      </c>
      <c r="K20" s="73"/>
      <c r="L20" s="73"/>
      <c r="M20" s="50"/>
      <c r="N20" s="218" t="s">
        <v>16</v>
      </c>
      <c r="O20" s="174" t="str">
        <f>IF(O18="-","-",IF(AND(O15="-",O18="-"),"-",(O15-O18)/O15*100))</f>
        <v>-</v>
      </c>
      <c r="P20" s="218" t="s">
        <v>17</v>
      </c>
      <c r="Q20" s="216"/>
      <c r="R20" s="216"/>
      <c r="S20" s="51"/>
    </row>
    <row r="21" spans="1:19" ht="18.75" thickBot="1" x14ac:dyDescent="0.3">
      <c r="A21" s="50"/>
      <c r="B21" s="72"/>
      <c r="C21" s="266"/>
      <c r="D21" s="267"/>
      <c r="E21" s="266"/>
      <c r="F21" s="306"/>
      <c r="G21" s="212"/>
      <c r="H21" s="269" t="b">
        <f>IF($J$15='Kyllinge - regneark'!$B$13,IF(C21="","",IF(AND(C21='Kyllinge - regneark'!$B$16,G21="Nej"),E21*'Kyllinge - regneark'!$T$20,IF(AND(C21='Kyllinge - regneark'!$B$16,G21="Ja"),E21*'Kyllinge - regneark'!$T$21,IF(AND(C21='Kyllinge - regneark'!$C$16,G21="Nej"),E21*'Kyllinge - regneark'!$T$22,IF(AND(C21='Kyllinge - regneark'!$C$16,G21="Ja"),E21*'Kyllinge - regneark'!$T$23,IF(AND(C21='Kyllinge - regneark'!$D$16,G21="Nej"),E21*'Kyllinge - regneark'!$T$24,IF(AND(C21='Kyllinge - regneark'!$D$16,G21="Ja"),E21*'Kyllinge - regneark'!$T$25,""))))))),IF($J$15='Kyllinge - regneark'!$C$13,IF(C21="","",IF(C21='Kyllinge - regneark'!$B$16,E21*'Kyllinge - regneark'!$I$11,IF(C21='Kyllinge - regneark'!$C$16,E21*'Kyllinge - regneark'!$I$12,"")))))</f>
        <v>0</v>
      </c>
      <c r="I21" s="270"/>
      <c r="J21" s="221" t="b">
        <f>IF($J$15='Kyllinge - regneark'!$C$13,IF(AND(C21='Kyllinge - regneark'!$B$16,G21="Nej"),H21*'Kyllinge - regneark'!$T$20,IF(AND(C21='Kyllinge - regneark'!$B$16,G21="Ja"),H21*'Kyllinge - regneark'!$T$21,IF(AND(C21='Kyllinge - regneark'!$C$16,G21="Nej"),H21*'Kyllinge - regneark'!$T$22,IF(AND(C21='Kyllinge - regneark'!$C$16,G21="Ja"),H21*'Kyllinge - regneark'!$T$23,"")))))</f>
        <v>0</v>
      </c>
      <c r="K21" s="73"/>
      <c r="L21" s="73"/>
      <c r="M21" s="50"/>
      <c r="N21" s="241" t="s">
        <v>18</v>
      </c>
      <c r="O21" s="242" t="str">
        <f>IF(O20="-","-",IF(AND(O15="-",O18="-"),"-",O15-O18))</f>
        <v>-</v>
      </c>
      <c r="P21" s="304" t="s">
        <v>13</v>
      </c>
      <c r="Q21" s="304"/>
      <c r="R21" s="305"/>
      <c r="S21" s="51"/>
    </row>
    <row r="22" spans="1:19" ht="18" customHeight="1" x14ac:dyDescent="0.25">
      <c r="A22" s="50"/>
      <c r="B22" s="72"/>
      <c r="C22" s="77"/>
      <c r="D22" s="77"/>
      <c r="E22" s="272"/>
      <c r="F22" s="272"/>
      <c r="G22" s="272"/>
      <c r="H22" s="286" t="str">
        <f>IF(J15='Kyllinge - regneark'!B13,SUM(H19:I21),"")</f>
        <v/>
      </c>
      <c r="I22" s="286"/>
      <c r="J22" s="214" t="str">
        <f>IF(J15='Kyllinge - regneark'!C13,SUM(J19:J21),"")</f>
        <v/>
      </c>
      <c r="K22" s="73"/>
      <c r="L22" s="73"/>
      <c r="M22" s="50"/>
      <c r="N22" s="51"/>
      <c r="O22" s="51"/>
      <c r="P22" s="51"/>
      <c r="Q22" s="51"/>
      <c r="R22" s="51"/>
      <c r="S22" s="51"/>
    </row>
    <row r="23" spans="1:19" ht="18" customHeight="1" x14ac:dyDescent="0.25">
      <c r="A23" s="50"/>
      <c r="B23" s="72"/>
      <c r="C23" s="77"/>
      <c r="D23" s="77"/>
      <c r="E23" s="217"/>
      <c r="F23" s="217"/>
      <c r="G23" s="217"/>
      <c r="H23" s="236"/>
      <c r="I23" s="236"/>
      <c r="J23" s="236"/>
      <c r="K23" s="236"/>
      <c r="L23" s="236"/>
      <c r="M23" s="50"/>
      <c r="N23" s="83" t="s">
        <v>150</v>
      </c>
      <c r="O23" s="51"/>
      <c r="P23" s="51"/>
      <c r="Q23" s="51"/>
      <c r="R23" s="51"/>
      <c r="S23" s="51"/>
    </row>
    <row r="24" spans="1:19" ht="24" customHeight="1" x14ac:dyDescent="0.25">
      <c r="A24" s="50"/>
      <c r="B24" s="72"/>
      <c r="C24" s="77"/>
      <c r="D24" s="77"/>
      <c r="E24" s="77"/>
      <c r="F24" s="77"/>
      <c r="G24" s="194"/>
      <c r="H24" s="194"/>
      <c r="I24" s="194"/>
      <c r="J24" s="194"/>
      <c r="K24" s="73"/>
      <c r="L24" s="73"/>
      <c r="M24" s="50"/>
      <c r="O24" s="51"/>
      <c r="P24" s="51"/>
      <c r="Q24" s="51"/>
      <c r="R24" s="51"/>
      <c r="S24" s="51"/>
    </row>
    <row r="25" spans="1:19" ht="18" customHeight="1" x14ac:dyDescent="0.25">
      <c r="A25" s="50"/>
      <c r="B25" s="152" t="s">
        <v>133</v>
      </c>
      <c r="C25" s="307" t="s">
        <v>111</v>
      </c>
      <c r="D25" s="307"/>
      <c r="E25" s="307"/>
      <c r="F25" s="200"/>
      <c r="G25" s="151"/>
      <c r="H25" s="191"/>
      <c r="I25" s="191"/>
      <c r="J25" s="192"/>
      <c r="K25" s="85"/>
      <c r="L25" s="85"/>
      <c r="M25" s="50"/>
      <c r="N25" s="73"/>
      <c r="O25" s="73"/>
      <c r="P25" s="73"/>
      <c r="Q25" s="73"/>
      <c r="R25" s="73"/>
      <c r="S25" s="51"/>
    </row>
    <row r="26" spans="1:19" ht="22.5" customHeight="1" x14ac:dyDescent="0.25">
      <c r="A26" s="50"/>
      <c r="B26" s="152"/>
      <c r="C26" s="152"/>
      <c r="D26" s="152"/>
      <c r="E26" s="152"/>
      <c r="F26" s="219"/>
      <c r="G26" s="151"/>
      <c r="H26" s="218"/>
      <c r="I26" s="218"/>
      <c r="J26" s="218"/>
      <c r="K26" s="218"/>
      <c r="L26" s="85"/>
      <c r="M26" s="50"/>
      <c r="N26" s="73"/>
      <c r="O26" s="73"/>
      <c r="P26" s="73"/>
      <c r="Q26" s="73"/>
      <c r="R26" s="73"/>
      <c r="S26" s="51"/>
    </row>
    <row r="27" spans="1:19" ht="18" x14ac:dyDescent="0.25">
      <c r="A27" s="50"/>
      <c r="B27" s="152"/>
      <c r="C27" s="151"/>
      <c r="D27" s="151"/>
      <c r="E27" s="151"/>
      <c r="F27" s="151"/>
      <c r="G27" s="151"/>
      <c r="H27" s="151"/>
      <c r="I27" s="151"/>
      <c r="J27" s="151"/>
      <c r="K27" s="85"/>
      <c r="L27" s="85"/>
      <c r="M27" s="50"/>
      <c r="N27" s="151"/>
      <c r="O27" s="151"/>
      <c r="P27" s="151"/>
      <c r="Q27" s="151"/>
      <c r="R27" s="151"/>
      <c r="S27" s="51"/>
    </row>
    <row r="28" spans="1:19" ht="18" x14ac:dyDescent="0.25">
      <c r="A28" s="50"/>
      <c r="B28" s="152" t="s">
        <v>134</v>
      </c>
      <c r="C28" s="278" t="s">
        <v>112</v>
      </c>
      <c r="D28" s="278"/>
      <c r="E28" s="278"/>
      <c r="F28" s="278"/>
      <c r="G28" s="278"/>
      <c r="H28" s="278"/>
      <c r="I28" s="278"/>
      <c r="J28" s="278"/>
      <c r="K28" s="71"/>
      <c r="L28" s="71"/>
      <c r="M28" s="50"/>
      <c r="N28" s="73"/>
      <c r="O28" s="73"/>
      <c r="P28" s="73"/>
      <c r="Q28" s="73"/>
      <c r="R28" s="73"/>
      <c r="S28" s="51"/>
    </row>
    <row r="29" spans="1:19" ht="21.75" customHeight="1" x14ac:dyDescent="0.25">
      <c r="A29" s="50"/>
      <c r="B29" s="152"/>
      <c r="C29" s="308" t="s">
        <v>101</v>
      </c>
      <c r="D29" s="308"/>
      <c r="E29" s="308" t="s">
        <v>90</v>
      </c>
      <c r="F29" s="308"/>
      <c r="G29" s="308"/>
      <c r="H29" s="308" t="s">
        <v>92</v>
      </c>
      <c r="I29" s="308"/>
      <c r="J29" s="193" t="s">
        <v>93</v>
      </c>
      <c r="K29" s="71"/>
      <c r="L29" s="71"/>
      <c r="M29" s="50"/>
      <c r="N29" s="151"/>
      <c r="O29" s="151"/>
      <c r="P29" s="151"/>
      <c r="Q29" s="151"/>
      <c r="R29" s="151"/>
      <c r="S29" s="51"/>
    </row>
    <row r="30" spans="1:19" ht="18" x14ac:dyDescent="0.25">
      <c r="A30" s="50"/>
      <c r="B30" s="152"/>
      <c r="C30" s="309"/>
      <c r="D30" s="310"/>
      <c r="E30" s="309"/>
      <c r="F30" s="315"/>
      <c r="G30" s="310"/>
      <c r="H30" s="311"/>
      <c r="I30" s="313"/>
      <c r="J30" s="243" t="str">
        <f>IF(OR(J25="",C30="",E30="",H30=""),"",IF('Kyllinge - virkningsgrad'!B14&lt;0.5,0.5,'Kyllinge - virkningsgrad'!B14))</f>
        <v/>
      </c>
      <c r="K30" s="71"/>
      <c r="L30" s="71"/>
      <c r="M30" s="57"/>
      <c r="N30" s="73"/>
      <c r="O30" s="73"/>
      <c r="P30" s="73"/>
      <c r="Q30" s="73"/>
      <c r="R30" s="73"/>
      <c r="S30" s="51"/>
    </row>
    <row r="31" spans="1:19" ht="18" x14ac:dyDescent="0.25">
      <c r="A31" s="50"/>
      <c r="B31" s="152"/>
      <c r="C31" s="152"/>
      <c r="D31" s="152"/>
      <c r="E31" s="152"/>
      <c r="F31" s="152"/>
      <c r="G31" s="152"/>
      <c r="H31" s="152"/>
      <c r="I31" s="152"/>
      <c r="J31" s="152"/>
      <c r="K31" s="152"/>
      <c r="L31" s="152"/>
      <c r="M31" s="57"/>
      <c r="N31" s="73"/>
      <c r="O31" s="73"/>
      <c r="P31" s="73"/>
      <c r="Q31" s="73"/>
      <c r="R31" s="73"/>
      <c r="S31" s="51"/>
    </row>
    <row r="32" spans="1:19" ht="18" x14ac:dyDescent="0.25">
      <c r="A32" s="57"/>
      <c r="B32" s="152"/>
      <c r="C32" s="151"/>
      <c r="D32" s="151"/>
      <c r="E32" s="151"/>
      <c r="F32" s="151"/>
      <c r="G32" s="151"/>
      <c r="H32" s="151"/>
      <c r="I32" s="151"/>
      <c r="J32" s="151"/>
      <c r="K32" s="71"/>
      <c r="L32" s="71"/>
      <c r="M32" s="57"/>
      <c r="N32" s="151"/>
      <c r="O32" s="151"/>
      <c r="P32" s="151"/>
      <c r="Q32" s="151"/>
      <c r="R32" s="151"/>
      <c r="S32" s="51"/>
    </row>
    <row r="33" spans="1:19" ht="18" x14ac:dyDescent="0.25">
      <c r="A33" s="57"/>
      <c r="B33" s="152" t="s">
        <v>103</v>
      </c>
      <c r="C33" s="278" t="s">
        <v>113</v>
      </c>
      <c r="D33" s="278"/>
      <c r="E33" s="278"/>
      <c r="F33" s="278"/>
      <c r="G33" s="278"/>
      <c r="H33" s="278"/>
      <c r="I33" s="283"/>
      <c r="J33" s="167"/>
      <c r="K33" s="71"/>
      <c r="L33" s="71"/>
      <c r="M33" s="57"/>
      <c r="N33" s="73"/>
      <c r="O33" s="73"/>
      <c r="P33" s="73"/>
      <c r="Q33" s="73"/>
      <c r="R33" s="73"/>
      <c r="S33" s="51"/>
    </row>
    <row r="34" spans="1:19" ht="18" x14ac:dyDescent="0.25">
      <c r="A34" s="57"/>
      <c r="B34" s="152"/>
      <c r="C34" s="219"/>
      <c r="D34" s="219"/>
      <c r="E34" s="219"/>
      <c r="F34" s="219"/>
      <c r="G34" s="219"/>
      <c r="H34" s="219"/>
      <c r="I34" s="159"/>
      <c r="J34" s="159"/>
      <c r="K34" s="159"/>
      <c r="L34" s="71"/>
      <c r="M34" s="57"/>
      <c r="N34" s="73"/>
      <c r="O34" s="73"/>
      <c r="P34" s="73"/>
      <c r="Q34" s="73"/>
      <c r="R34" s="73"/>
      <c r="S34" s="51"/>
    </row>
    <row r="35" spans="1:19" ht="18" customHeight="1" x14ac:dyDescent="0.25">
      <c r="A35" s="57"/>
      <c r="B35" s="152" t="str">
        <f>IF(J33='Grise - regneark'!B28,"5.1",IF(J33='Grise - regneark'!C28,"5.1",IF(J33='Grise - regneark'!D28,"5.1","")))</f>
        <v/>
      </c>
      <c r="C35" s="284" t="str">
        <f>IF(J33='Grise - regneark'!B28,"Beregning af ny brændselskedels årsvirkningsgrad",IF(J33='Grise - regneark'!C28,"Virkningsgrad",IF(J33='Grise - regneark'!D28,"Indtast SCOP","")))</f>
        <v/>
      </c>
      <c r="D35" s="284"/>
      <c r="E35" s="284"/>
      <c r="F35" s="284"/>
      <c r="G35" s="284"/>
      <c r="H35" s="285"/>
      <c r="I35" s="167"/>
      <c r="J35" s="168" t="str">
        <f>IF(J33="Brændselskedel","",IF(J33="Fjernvarme",1,IF(I35="","",IF(J33='Grise - regneark'!C28,"100%",I35))))</f>
        <v/>
      </c>
      <c r="K35" s="71"/>
      <c r="L35" s="71"/>
      <c r="M35" s="57"/>
      <c r="N35" s="73"/>
      <c r="O35" s="73"/>
      <c r="P35" s="73"/>
      <c r="Q35" s="73"/>
      <c r="R35" s="73"/>
      <c r="S35" s="51"/>
    </row>
    <row r="36" spans="1:19" s="162" customFormat="1" ht="4.5" customHeight="1" x14ac:dyDescent="0.25">
      <c r="A36" s="160"/>
      <c r="B36" s="207"/>
      <c r="C36" s="159"/>
      <c r="D36" s="159"/>
      <c r="E36" s="159"/>
      <c r="F36" s="159"/>
      <c r="G36" s="159"/>
      <c r="H36" s="159"/>
      <c r="I36" s="159"/>
      <c r="J36" s="159"/>
      <c r="K36" s="161"/>
      <c r="L36" s="161"/>
      <c r="M36" s="160"/>
      <c r="N36" s="151"/>
      <c r="O36" s="151"/>
      <c r="P36" s="151"/>
      <c r="Q36" s="151"/>
      <c r="R36" s="151"/>
      <c r="S36" s="51"/>
    </row>
    <row r="37" spans="1:19" ht="17.45" customHeight="1" x14ac:dyDescent="0.25">
      <c r="A37" s="57"/>
      <c r="B37" s="152"/>
      <c r="C37" s="308" t="s">
        <v>101</v>
      </c>
      <c r="D37" s="308"/>
      <c r="E37" s="308" t="s">
        <v>92</v>
      </c>
      <c r="F37" s="308"/>
      <c r="G37" s="308"/>
      <c r="H37" s="308"/>
      <c r="I37" s="308" t="s">
        <v>93</v>
      </c>
      <c r="J37" s="308"/>
      <c r="K37" s="71"/>
      <c r="L37" s="71"/>
      <c r="M37" s="51"/>
      <c r="N37" s="73"/>
      <c r="O37" s="73"/>
      <c r="P37" s="73"/>
      <c r="Q37" s="73"/>
      <c r="R37" s="73"/>
      <c r="S37" s="51"/>
    </row>
    <row r="38" spans="1:19" ht="18" x14ac:dyDescent="0.25">
      <c r="A38" s="57"/>
      <c r="B38" s="152"/>
      <c r="C38" s="309"/>
      <c r="D38" s="310"/>
      <c r="E38" s="311"/>
      <c r="F38" s="312"/>
      <c r="G38" s="312"/>
      <c r="H38" s="313"/>
      <c r="I38" s="314" t="str">
        <f>IF(OR(J33="Fjernvarme",J33="Varmepumpe"),"",IF(C38="","",IF(E38="","",IF('Kyllinge - virkningsgrad'!B14&lt;0.5,0.5,'Kyllinge - virkningsgrad'!B20))))</f>
        <v/>
      </c>
      <c r="J38" s="314"/>
      <c r="K38" s="71"/>
      <c r="L38" s="71"/>
      <c r="M38" s="51"/>
      <c r="N38" s="73"/>
      <c r="O38" s="73"/>
      <c r="P38" s="73"/>
      <c r="Q38" s="73"/>
      <c r="R38" s="73"/>
      <c r="S38" s="51"/>
    </row>
    <row r="39" spans="1:19" ht="18" x14ac:dyDescent="0.25">
      <c r="A39" s="57"/>
      <c r="B39" s="207"/>
      <c r="C39" s="201"/>
      <c r="D39" s="201"/>
      <c r="E39" s="202"/>
      <c r="F39" s="202"/>
      <c r="G39" s="202"/>
      <c r="H39" s="202"/>
      <c r="I39" s="203"/>
      <c r="J39" s="203"/>
      <c r="K39" s="161"/>
      <c r="L39" s="161"/>
      <c r="M39" s="51"/>
      <c r="N39" s="73"/>
      <c r="O39" s="73"/>
      <c r="P39" s="73"/>
      <c r="Q39" s="73"/>
      <c r="R39" s="73"/>
      <c r="S39" s="51"/>
    </row>
    <row r="40" spans="1:19" ht="12.75" customHeight="1" x14ac:dyDescent="0.25">
      <c r="A40" s="51"/>
      <c r="B40" s="161"/>
      <c r="C40" s="161"/>
      <c r="D40" s="161"/>
      <c r="E40" s="161"/>
      <c r="F40" s="161"/>
      <c r="G40" s="161"/>
      <c r="H40" s="161"/>
      <c r="I40" s="161"/>
      <c r="J40" s="161"/>
      <c r="K40" s="161"/>
      <c r="L40" s="161"/>
      <c r="M40" s="51"/>
      <c r="N40" s="73"/>
      <c r="O40" s="73"/>
      <c r="P40" s="73"/>
      <c r="Q40" s="73"/>
      <c r="R40" s="73"/>
      <c r="S40" s="51"/>
    </row>
    <row r="41" spans="1:19" ht="12.75" customHeight="1" x14ac:dyDescent="0.25">
      <c r="A41" s="51"/>
      <c r="B41" s="161"/>
      <c r="C41" s="161"/>
      <c r="D41" s="161"/>
      <c r="E41" s="161"/>
      <c r="F41" s="161"/>
      <c r="G41" s="161"/>
      <c r="H41" s="161"/>
      <c r="I41" s="161"/>
      <c r="J41" s="161"/>
      <c r="K41" s="161"/>
      <c r="L41" s="161"/>
      <c r="M41" s="51"/>
      <c r="N41" s="51"/>
      <c r="O41" s="51"/>
      <c r="P41" s="51"/>
      <c r="Q41" s="51"/>
      <c r="R41" s="51"/>
      <c r="S41" s="51"/>
    </row>
    <row r="42" spans="1:19" ht="12.75" customHeight="1" x14ac:dyDescent="0.25">
      <c r="A42" s="51"/>
      <c r="B42" s="161"/>
      <c r="C42" s="161"/>
      <c r="D42" s="161"/>
      <c r="E42" s="161"/>
      <c r="F42" s="161"/>
      <c r="G42" s="161"/>
      <c r="H42" s="161"/>
      <c r="I42" s="161"/>
      <c r="J42" s="161"/>
      <c r="K42" s="161"/>
      <c r="L42" s="161"/>
      <c r="M42" s="51"/>
      <c r="N42" s="51"/>
      <c r="O42" s="51"/>
      <c r="P42" s="51"/>
      <c r="Q42" s="51"/>
      <c r="R42" s="51"/>
      <c r="S42" s="51"/>
    </row>
    <row r="43" spans="1:19" ht="12.75" customHeight="1" x14ac:dyDescent="0.25">
      <c r="A43" s="51"/>
      <c r="B43" s="161"/>
      <c r="C43" s="161"/>
      <c r="D43" s="161"/>
      <c r="E43" s="161"/>
      <c r="F43" s="161"/>
      <c r="G43" s="161"/>
      <c r="H43" s="161"/>
      <c r="I43" s="161"/>
      <c r="J43" s="161"/>
      <c r="K43" s="161"/>
      <c r="L43" s="161"/>
      <c r="M43" s="51"/>
      <c r="N43" s="51"/>
      <c r="O43" s="51"/>
      <c r="P43" s="51"/>
      <c r="Q43" s="51"/>
      <c r="R43" s="51"/>
      <c r="S43" s="51"/>
    </row>
    <row r="44" spans="1:19" ht="12.75" customHeight="1" x14ac:dyDescent="0.25">
      <c r="A44" s="51"/>
      <c r="B44" s="161"/>
      <c r="C44" s="161"/>
      <c r="D44" s="161"/>
      <c r="E44" s="161"/>
      <c r="F44" s="161"/>
      <c r="G44" s="161"/>
      <c r="H44" s="161"/>
      <c r="I44" s="161"/>
      <c r="J44" s="161"/>
      <c r="K44" s="161"/>
      <c r="L44" s="161"/>
      <c r="M44" s="51"/>
      <c r="N44" s="51"/>
      <c r="O44" s="51"/>
      <c r="P44" s="51"/>
      <c r="Q44" s="51"/>
      <c r="R44" s="51"/>
      <c r="S44" s="51"/>
    </row>
    <row r="45" spans="1:19" ht="12.75" customHeight="1" x14ac:dyDescent="0.25">
      <c r="A45" s="51"/>
      <c r="B45" s="161"/>
      <c r="C45" s="161"/>
      <c r="D45" s="161"/>
      <c r="E45" s="161"/>
      <c r="F45" s="161"/>
      <c r="G45" s="161"/>
      <c r="H45" s="161"/>
      <c r="I45" s="161"/>
      <c r="J45" s="161"/>
      <c r="K45" s="161"/>
      <c r="L45" s="161"/>
      <c r="M45" s="51"/>
      <c r="N45" s="51"/>
      <c r="O45" s="51"/>
      <c r="P45" s="51"/>
      <c r="Q45" s="51"/>
      <c r="R45" s="51"/>
      <c r="S45" s="51"/>
    </row>
    <row r="46" spans="1:19" ht="12.75" customHeight="1" x14ac:dyDescent="0.25">
      <c r="A46" s="51"/>
      <c r="B46" s="161"/>
      <c r="C46" s="161"/>
      <c r="D46" s="161"/>
      <c r="E46" s="161"/>
      <c r="F46" s="161"/>
      <c r="G46" s="161"/>
      <c r="H46" s="161"/>
      <c r="I46" s="161"/>
      <c r="J46" s="161"/>
      <c r="K46" s="161"/>
      <c r="L46" s="161"/>
      <c r="M46" s="51"/>
      <c r="N46" s="51"/>
      <c r="O46" s="51"/>
      <c r="P46" s="51"/>
      <c r="Q46" s="51"/>
      <c r="R46" s="51"/>
      <c r="S46" s="51"/>
    </row>
    <row r="47" spans="1:19" ht="12.75" customHeight="1" x14ac:dyDescent="0.25">
      <c r="A47" s="51"/>
      <c r="B47" s="161"/>
      <c r="C47" s="161"/>
      <c r="D47" s="161"/>
      <c r="E47" s="161"/>
      <c r="F47" s="161"/>
      <c r="G47" s="161"/>
      <c r="H47" s="161"/>
      <c r="I47" s="161"/>
      <c r="J47" s="161"/>
      <c r="K47" s="161"/>
      <c r="L47" s="161"/>
      <c r="M47" s="51"/>
      <c r="N47" s="51"/>
      <c r="O47" s="51"/>
      <c r="P47" s="51"/>
      <c r="Q47" s="51"/>
      <c r="R47" s="51"/>
      <c r="S47" s="51"/>
    </row>
    <row r="48" spans="1:19" ht="12.75" customHeight="1" x14ac:dyDescent="0.25">
      <c r="A48" s="51"/>
      <c r="B48" s="161"/>
      <c r="C48" s="161"/>
      <c r="D48" s="161"/>
      <c r="E48" s="161"/>
      <c r="F48" s="161"/>
      <c r="G48" s="161"/>
      <c r="H48" s="161"/>
      <c r="I48" s="161"/>
      <c r="J48" s="161"/>
      <c r="K48" s="161"/>
      <c r="L48" s="161"/>
      <c r="M48" s="51"/>
      <c r="N48" s="51"/>
      <c r="O48" s="51"/>
      <c r="P48" s="51"/>
      <c r="Q48" s="51"/>
      <c r="R48" s="51"/>
      <c r="S48" s="51"/>
    </row>
    <row r="49" spans="1:19" ht="12.75" customHeight="1" x14ac:dyDescent="0.25">
      <c r="A49" s="51"/>
      <c r="B49" s="51"/>
      <c r="C49" s="51"/>
      <c r="D49" s="51"/>
      <c r="E49" s="51"/>
      <c r="F49" s="51"/>
      <c r="G49" s="51"/>
      <c r="H49" s="51"/>
      <c r="I49" s="51"/>
      <c r="J49" s="51"/>
      <c r="K49" s="51"/>
      <c r="L49" s="51"/>
      <c r="M49" s="51"/>
      <c r="N49" s="51"/>
      <c r="O49" s="51"/>
      <c r="P49" s="51"/>
      <c r="Q49" s="51"/>
      <c r="R49" s="51"/>
      <c r="S49" s="51"/>
    </row>
    <row r="50" spans="1:19" ht="12.75" customHeight="1" x14ac:dyDescent="0.15">
      <c r="B50" s="66"/>
    </row>
    <row r="51" spans="1:19" ht="12.75" customHeight="1" x14ac:dyDescent="0.15">
      <c r="B51" s="66"/>
    </row>
    <row r="52" spans="1:19" ht="12.75" customHeight="1" x14ac:dyDescent="0.15">
      <c r="B52" s="66"/>
    </row>
    <row r="53" spans="1:19" ht="12.75" customHeight="1" x14ac:dyDescent="0.15">
      <c r="B53" s="66"/>
    </row>
  </sheetData>
  <sheetProtection algorithmName="SHA-512" hashValue="ULcBApORc9aexN3SZFioF1Wsgdb3RFZaUTi1yJnW8kUhxZ5SQE+brBG+GP0llYb5z7ZrQwcmU82d5APS3333cQ==" saltValue="v+kvngyNn+IaDWKh0+Rlag==" spinCount="100000" sheet="1" scenarios="1"/>
  <protectedRanges>
    <protectedRange sqref="I35" name="Område7"/>
    <protectedRange sqref="C38:H38" name="Område1"/>
    <protectedRange sqref="C30:I30" name="Område2"/>
    <protectedRange sqref="J33" name="Område3"/>
    <protectedRange sqref="J25" name="Område4"/>
    <protectedRange sqref="C19:G21" name="Område5"/>
    <protectedRange sqref="J15" name="Område6"/>
  </protectedRanges>
  <mergeCells count="38">
    <mergeCell ref="E19:F19"/>
    <mergeCell ref="C38:D38"/>
    <mergeCell ref="E38:H38"/>
    <mergeCell ref="I38:J38"/>
    <mergeCell ref="C33:I33"/>
    <mergeCell ref="C35:H35"/>
    <mergeCell ref="C37:D37"/>
    <mergeCell ref="E37:H37"/>
    <mergeCell ref="I37:J37"/>
    <mergeCell ref="H20:I20"/>
    <mergeCell ref="C30:D30"/>
    <mergeCell ref="E30:G30"/>
    <mergeCell ref="H30:I30"/>
    <mergeCell ref="C28:J28"/>
    <mergeCell ref="C29:D29"/>
    <mergeCell ref="E29:G29"/>
    <mergeCell ref="H29:I29"/>
    <mergeCell ref="H21:I21"/>
    <mergeCell ref="E22:G22"/>
    <mergeCell ref="H22:I22"/>
    <mergeCell ref="C21:D21"/>
    <mergeCell ref="E21:F21"/>
    <mergeCell ref="P21:R21"/>
    <mergeCell ref="E20:F20"/>
    <mergeCell ref="C25:E25"/>
    <mergeCell ref="C19:D19"/>
    <mergeCell ref="B2:I4"/>
    <mergeCell ref="K2:O3"/>
    <mergeCell ref="C17:I17"/>
    <mergeCell ref="C18:D18"/>
    <mergeCell ref="H18:I18"/>
    <mergeCell ref="C15:I15"/>
    <mergeCell ref="E18:F18"/>
    <mergeCell ref="B6:N7"/>
    <mergeCell ref="C8:N8"/>
    <mergeCell ref="B13:K13"/>
    <mergeCell ref="H19:I19"/>
    <mergeCell ref="C20:D20"/>
  </mergeCells>
  <conditionalFormatting sqref="G19:I21 C19:E21">
    <cfRule type="expression" dxfId="38" priority="93">
      <formula>$J$15=""</formula>
    </cfRule>
  </conditionalFormatting>
  <conditionalFormatting sqref="C18:E18 G18:I18">
    <cfRule type="expression" dxfId="37" priority="92">
      <formula>$J$15=""</formula>
    </cfRule>
  </conditionalFormatting>
  <conditionalFormatting sqref="H19:I21">
    <cfRule type="expression" dxfId="36" priority="88">
      <formula>$J$15=""</formula>
    </cfRule>
  </conditionalFormatting>
  <conditionalFormatting sqref="G19:G21 C19:E21">
    <cfRule type="expression" dxfId="35" priority="91">
      <formula>$J$15=""</formula>
    </cfRule>
  </conditionalFormatting>
  <conditionalFormatting sqref="H19:I21">
    <cfRule type="expression" dxfId="34" priority="90">
      <formula>$H$20:$I$21=0</formula>
    </cfRule>
  </conditionalFormatting>
  <conditionalFormatting sqref="H21:I21">
    <cfRule type="expression" dxfId="33" priority="89">
      <formula>$H$21=0</formula>
    </cfRule>
  </conditionalFormatting>
  <conditionalFormatting sqref="C22:I22 G19:I21 C23:L23 C19:E21">
    <cfRule type="expression" dxfId="32" priority="87">
      <formula>$J$15=""</formula>
    </cfRule>
  </conditionalFormatting>
  <conditionalFormatting sqref="J19:J21">
    <cfRule type="expression" dxfId="31" priority="74">
      <formula>$J$15=""</formula>
    </cfRule>
  </conditionalFormatting>
  <conditionalFormatting sqref="E37:F37 I37:I39 C39:J39 C37:C39 E38 I38:J38">
    <cfRule type="expression" dxfId="30" priority="106">
      <formula>$J$33=""</formula>
    </cfRule>
  </conditionalFormatting>
  <conditionalFormatting sqref="J35">
    <cfRule type="expression" dxfId="29" priority="64">
      <formula>$J$33=""</formula>
    </cfRule>
    <cfRule type="expression" dxfId="28" priority="2">
      <formula>$J$33="Brændselskedel"</formula>
    </cfRule>
    <cfRule type="expression" dxfId="27" priority="1">
      <formula>$J$33=""</formula>
    </cfRule>
  </conditionalFormatting>
  <conditionalFormatting sqref="C37:J37">
    <cfRule type="expression" dxfId="26" priority="65">
      <formula>$J$33=""</formula>
    </cfRule>
  </conditionalFormatting>
  <conditionalFormatting sqref="I35">
    <cfRule type="expression" dxfId="25" priority="60">
      <formula>$J$33=""</formula>
    </cfRule>
  </conditionalFormatting>
  <conditionalFormatting sqref="E19:G20 G20:G21">
    <cfRule type="expression" dxfId="24" priority="19">
      <formula>$J$15=""</formula>
    </cfRule>
  </conditionalFormatting>
  <dataValidations count="4">
    <dataValidation type="decimal" allowBlank="1" showInputMessage="1" showErrorMessage="1" errorTitle="Fejl i indtastning" error="Normvirkningsgraden kan maksmimalt være 103 %." sqref="H30">
      <formula1>0</formula1>
      <formula2>1.03</formula2>
    </dataValidation>
    <dataValidation allowBlank="1" showErrorMessage="1" sqref="C15:C17"/>
    <dataValidation allowBlank="1" showErrorMessage="1" prompt="Her indtastes optælling af specifikke samlede antal lyskilder, og ikke antal lamper/lysarmaturer. Hvis der f.eks, er to, tre eller fire lyskilder i en lampe/lysaramtur, så skal der optælles hhv. to, tre eller fire lyskilder." sqref="G14:J14 G24:J24 H22 J18:J22"/>
    <dataValidation type="decimal" allowBlank="1" showInputMessage="1" showErrorMessage="1" sqref="E38:H38">
      <formula1>0.5</formula1>
      <formula2>1.03</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5121" r:id="rId4">
          <objectPr defaultSize="0" autoPict="0" r:id="rId5">
            <anchor moveWithCells="1">
              <from>
                <xdr:col>13</xdr:col>
                <xdr:colOff>1971675</xdr:colOff>
                <xdr:row>36</xdr:row>
                <xdr:rowOff>123825</xdr:rowOff>
              </from>
              <to>
                <xdr:col>15</xdr:col>
                <xdr:colOff>76200</xdr:colOff>
                <xdr:row>42</xdr:row>
                <xdr:rowOff>76200</xdr:rowOff>
              </to>
            </anchor>
          </objectPr>
        </oleObject>
      </mc:Choice>
      <mc:Fallback>
        <oleObject progId="AcroExch.Document.DC" dvAspect="DVASPECT_ICON" shapeId="5121"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83" id="{2D58C7F9-3E49-495E-B75B-1583C12732DA}">
            <xm:f>$J$15='Kyllinge - regneark'!$B$13</xm:f>
            <x14:dxf>
              <font>
                <color auto="1"/>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4" id="{6C808CCA-831A-4AB3-9E62-3140FD7D1EED}">
            <xm:f>$J$15='Kyllinge - regneark'!$B$13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5" id="{F6A8BADD-3A81-4E9C-99B0-F1F738AD7696}">
            <xm:f>$J$15='Kyllinge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86" id="{025DCB81-E333-491C-87B2-BF67B7E60535}">
            <xm:f>$J$15='Kyllinge - regneark'!$B$13</xm:f>
            <x14:dxf/>
          </x14:cfRule>
          <xm:sqref>H19:I21</xm:sqref>
        </x14:conditionalFormatting>
        <x14:conditionalFormatting xmlns:xm="http://schemas.microsoft.com/office/excel/2006/main">
          <x14:cfRule type="iconSet" priority="96" id="{249F33C2-8E8C-4550-ACF6-02C51749984D}">
            <x14:iconSet iconSet="3Symbols2" custom="1">
              <x14:cfvo type="percent">
                <xm:f>0</xm:f>
              </x14:cfvo>
              <x14:cfvo type="num">
                <xm:f>-0.5</xm:f>
              </x14:cfvo>
              <x14:cfvo type="num">
                <xm:f>0.5</xm:f>
              </x14:cfvo>
              <x14:cfIcon iconSet="3Symbols2" iconId="0"/>
              <x14:cfIcon iconSet="3Symbols2" iconId="1"/>
              <x14:cfIcon iconSet="3Symbols2" iconId="2"/>
            </x14:iconSet>
          </x14:cfRule>
          <xm:sqref>R8:R9</xm:sqref>
        </x14:conditionalFormatting>
        <x14:conditionalFormatting xmlns:xm="http://schemas.microsoft.com/office/excel/2006/main">
          <x14:cfRule type="iconSet" priority="94" id="{1736825A-4ABD-43EB-BC78-86FD5F61FC65}">
            <x14:iconSet iconSet="3Symbols2" custom="1">
              <x14:cfvo type="percent">
                <xm:f>0</xm:f>
              </x14:cfvo>
              <x14:cfvo type="num">
                <xm:f>-0.5</xm:f>
              </x14:cfvo>
              <x14:cfvo type="num">
                <xm:f>0.5</xm:f>
              </x14:cfvo>
              <x14:cfIcon iconSet="3Symbols2" iconId="0"/>
              <x14:cfIcon iconSet="3Symbols2" iconId="1"/>
              <x14:cfIcon iconSet="3Symbols2" iconId="2"/>
            </x14:iconSet>
          </x14:cfRule>
          <xm:sqref>J11</xm:sqref>
        </x14:conditionalFormatting>
        <x14:conditionalFormatting xmlns:xm="http://schemas.microsoft.com/office/excel/2006/main">
          <x14:cfRule type="expression" priority="97" id="{3AA2BF15-E002-46AB-9BFB-B342888E8922}">
            <xm:f>$J$15='Kyllinge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98" id="{6693265A-AC88-4C67-8551-77BBD5F938A8}">
            <xm:f>$J$15='Kyllinge - regneark'!$B$13</xm:f>
            <x14:dxf>
              <fill>
                <patternFill>
                  <bgColor theme="9" tint="0.59996337778862885"/>
                </patternFill>
              </fill>
              <border>
                <left style="thin">
                  <color auto="1"/>
                </left>
                <right/>
                <top/>
                <bottom/>
                <vertical/>
                <horizontal/>
              </border>
            </x14:dxf>
          </x14:cfRule>
          <x14:cfRule type="expression" priority="99" id="{EA3EAC8E-74AC-41C1-8E84-D6A820240177}">
            <xm:f>$J$15='Kyllinge - regneark'!$B$13</xm:f>
            <x14:dxf>
              <fill>
                <patternFill>
                  <bgColor theme="9" tint="0.59996337778862885"/>
                </patternFill>
              </fill>
              <border>
                <left style="thin">
                  <color auto="1"/>
                </left>
                <right/>
                <top/>
                <bottom/>
                <vertical/>
                <horizontal/>
              </border>
            </x14:dxf>
          </x14:cfRule>
          <x14:cfRule type="expression" priority="100" id="{D15172D5-AA08-4193-85F2-5D36DB0B824F}">
            <xm:f>$J$15='Kyllinge - regneark'!$B$13</xm:f>
            <x14:dxf/>
          </x14:cfRule>
          <x14:cfRule type="expression" priority="101" id="{9FF6B3C9-3069-40EE-9004-E55EE7EE321E}">
            <xm:f>$J$15='Kyllinge - regneark'!$B$13</xm:f>
            <x14:dxf>
              <fill>
                <patternFill>
                  <bgColor theme="9" tint="0.59996337778862885"/>
                </patternFill>
              </fill>
              <border>
                <left/>
                <right style="thin">
                  <color auto="1"/>
                </right>
                <top style="thin">
                  <color auto="1"/>
                </top>
                <bottom style="thin">
                  <color auto="1"/>
                </bottom>
                <vertical/>
                <horizontal/>
              </border>
            </x14:dxf>
          </x14:cfRule>
          <x14:cfRule type="expression" priority="102" id="{F1B1C330-F06A-4120-A3DC-4F914A575BBA}">
            <xm:f>$J$15='Kyllinge - regneark'!$B$13</xm:f>
            <x14:dxf>
              <fill>
                <patternFill>
                  <bgColor theme="9" tint="0.59996337778862885"/>
                </patternFill>
              </fill>
              <border>
                <left/>
                <right/>
                <top/>
                <bottom/>
                <vertical/>
                <horizontal/>
              </border>
            </x14:dxf>
          </x14:cfRule>
          <x14:cfRule type="expression" priority="103" id="{5DC10212-0812-4BBC-967B-EE562E84A8E6}">
            <xm:f>$H$19='Kyllinge - regneark'!$B$13</xm:f>
            <x14:dxf>
              <fill>
                <patternFill>
                  <bgColor theme="9" tint="0.59996337778862885"/>
                </patternFill>
              </fill>
              <border>
                <left/>
                <right/>
                <top/>
                <bottom/>
                <vertical/>
                <horizontal/>
              </border>
            </x14:dxf>
          </x14:cfRule>
          <xm:sqref>H19:I21</xm:sqref>
        </x14:conditionalFormatting>
        <x14:conditionalFormatting xmlns:xm="http://schemas.microsoft.com/office/excel/2006/main">
          <x14:cfRule type="expression" priority="104" id="{0495B488-EB68-4424-B08A-6CCD02286E1B}">
            <xm:f>$J$15='Grise - regneark'!$B$13</xm:f>
            <x14:dxf/>
          </x14:cfRule>
          <xm:sqref>G19:G21 C19:E21</xm:sqref>
        </x14:conditionalFormatting>
        <x14:conditionalFormatting xmlns:xm="http://schemas.microsoft.com/office/excel/2006/main">
          <x14:cfRule type="expression" priority="105" id="{E640F958-6263-46EC-9736-1FFD2447A89B}">
            <xm:f>$J$15='Kyllinge - regneark'!$B$13</xm:f>
            <x14:dxf>
              <font>
                <color theme="9" tint="0.59996337778862885"/>
              </font>
              <fill>
                <patternFill>
                  <bgColor theme="9" tint="0.59996337778862885"/>
                </patternFill>
              </fill>
              <border>
                <left style="thin">
                  <color auto="1"/>
                </left>
                <right/>
                <top/>
                <bottom/>
                <vertical/>
                <horizontal/>
              </border>
            </x14:dxf>
          </x14:cfRule>
          <xm:sqref>H19:I21</xm:sqref>
        </x14:conditionalFormatting>
        <x14:conditionalFormatting xmlns:xm="http://schemas.microsoft.com/office/excel/2006/main">
          <x14:cfRule type="expression" priority="81" id="{575472BB-8DB5-470C-AEA5-C519A29AA8B3}">
            <xm:f>$J$15='Grise - regneark'!$B$13</xm:f>
            <x14:dxf>
              <font>
                <color theme="9" tint="0.59996337778862885"/>
              </font>
            </x14:dxf>
          </x14:cfRule>
          <x14:cfRule type="expression" priority="82" id="{9818998A-8047-4319-A895-CF1CA03890CC}">
            <xm:f>$J$15='Grise - regneark'!$C$13</xm:f>
            <x14:dxf/>
          </x14:cfRule>
          <xm:sqref>J18</xm:sqref>
        </x14:conditionalFormatting>
        <x14:conditionalFormatting xmlns:xm="http://schemas.microsoft.com/office/excel/2006/main">
          <x14:cfRule type="expression" priority="78" id="{35193368-75CB-465C-A5E2-8EA91F7F7854}">
            <xm:f>$J$15='Kyllinge - regneark'!$B$13</xm:f>
            <x14:dxf>
              <font>
                <color theme="9" tint="0.59996337778862885"/>
              </font>
              <fill>
                <patternFill>
                  <bgColor theme="9" tint="0.59996337778862885"/>
                </patternFill>
              </fill>
              <border>
                <left style="thin">
                  <color auto="1"/>
                </left>
                <right/>
                <top/>
                <bottom/>
                <vertical/>
                <horizontal/>
              </border>
            </x14:dxf>
          </x14:cfRule>
          <x14:cfRule type="expression" priority="79" id="{50DBDCC0-21D7-4F20-AAF4-F6D6536918F4}">
            <xm:f>$J$15='Kyllinge - regneark'!$C$13</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80" id="{90AC0799-4413-40CE-B4C8-F3682E60AC8B}">
            <xm:f>$J$15='Kyllinge - regneark'!$C$13</xm:f>
            <x14:dxf/>
          </x14:cfRule>
          <xm:sqref>J19:J21</xm:sqref>
        </x14:conditionalFormatting>
        <x14:conditionalFormatting xmlns:xm="http://schemas.microsoft.com/office/excel/2006/main">
          <x14:cfRule type="expression" priority="77" id="{77BE6B96-161F-4986-B0CE-CC8921854FB2}">
            <xm:f>$J$15='Grise - regneark'!$B$13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m:sqref>H22:I22</xm:sqref>
        </x14:conditionalFormatting>
        <x14:conditionalFormatting xmlns:xm="http://schemas.microsoft.com/office/excel/2006/main">
          <x14:cfRule type="expression" priority="75" id="{CFDD50D4-8D0B-4819-B73C-9F3661D8ED4B}">
            <xm:f>$J$15='Grise - regneark'!$C$13</xm:f>
            <x14:dxf>
              <font>
                <b/>
                <i val="0"/>
              </font>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6" id="{F608AE63-8661-4767-9E12-60713364B3ED}">
            <xm:f>$J$15='Grise - regneark'!$C$13</xm:f>
            <x14:dxf>
              <font>
                <b/>
                <i val="0"/>
              </font>
              <fill>
                <patternFill>
                  <bgColor theme="9" tint="0.59996337778862885"/>
                </patternFill>
              </fill>
              <border>
                <left style="thin">
                  <color auto="1"/>
                </left>
                <right style="thin">
                  <color auto="1"/>
                </right>
                <top style="thin">
                  <color auto="1"/>
                </top>
                <bottom style="thin">
                  <color auto="1"/>
                </bottom>
                <vertical/>
                <horizontal/>
              </border>
            </x14:dxf>
          </x14:cfRule>
          <xm:sqref>J22</xm:sqref>
        </x14:conditionalFormatting>
        <x14:conditionalFormatting xmlns:xm="http://schemas.microsoft.com/office/excel/2006/main">
          <x14:cfRule type="expression" priority="107" id="{16969616-9353-4E97-83C7-B62956AEE4A6}">
            <xm:f>$J$33='Grise - regneark'!$D$28</xm:f>
            <x14:dxf>
              <font>
                <color theme="9" tint="0.59996337778862885"/>
              </font>
              <fill>
                <patternFill>
                  <bgColor theme="9" tint="0.59996337778862885"/>
                </patternFill>
              </fill>
              <border>
                <left/>
                <right/>
                <top/>
                <bottom/>
                <vertical/>
                <horizontal/>
              </border>
            </x14:dxf>
          </x14:cfRule>
          <x14:cfRule type="expression" priority="108" id="{6CFF0481-B20B-4513-90FB-888600CA3EA5}">
            <xm:f>$J$33='Grise - regneark'!$C$28</xm:f>
            <x14:dxf>
              <font>
                <color theme="9" tint="0.59996337778862885"/>
              </font>
              <fill>
                <patternFill>
                  <bgColor theme="9" tint="0.59996337778862885"/>
                </patternFill>
              </fill>
              <border>
                <left/>
                <right/>
                <top/>
                <bottom/>
                <vertical/>
                <horizontal/>
              </border>
            </x14:dxf>
          </x14:cfRule>
          <xm:sqref>C37:C39 E37:F37 I37:I39 E39:F39 E38</xm:sqref>
        </x14:conditionalFormatting>
        <x14:conditionalFormatting xmlns:xm="http://schemas.microsoft.com/office/excel/2006/main">
          <x14:cfRule type="expression" priority="63" id="{641AA022-ACDD-4799-B614-44B73107B802}">
            <xm:f>$J$33='Grise - regneark'!$C$28</xm:f>
            <x14:dxf>
              <fill>
                <patternFill>
                  <bgColor theme="0" tint="-0.14996795556505021"/>
                </patternFill>
              </fill>
              <border>
                <left style="thin">
                  <color auto="1"/>
                </left>
                <right style="thin">
                  <color auto="1"/>
                </right>
                <top style="thin">
                  <color auto="1"/>
                </top>
                <bottom style="thin">
                  <color auto="1"/>
                </bottom>
                <vertical/>
                <horizontal/>
              </border>
            </x14:dxf>
          </x14:cfRule>
          <x14:cfRule type="expression" priority="71" id="{41D88E1A-939B-45F2-9211-90B8B6BC71E7}">
            <xm:f>$J$33='Grise - regneark'!$B$28</xm:f>
            <x14:dxf>
              <font>
                <color theme="9" tint="0.59996337778862885"/>
              </font>
              <fill>
                <patternFill>
                  <bgColor theme="9" tint="0.59996337778862885"/>
                </patternFill>
              </fill>
              <border>
                <left/>
                <right/>
                <top style="thin">
                  <color auto="1"/>
                </top>
                <bottom/>
                <vertical/>
                <horizontal/>
              </border>
            </x14:dxf>
          </x14:cfRule>
          <xm:sqref>J35</xm:sqref>
        </x14:conditionalFormatting>
        <x14:conditionalFormatting xmlns:xm="http://schemas.microsoft.com/office/excel/2006/main">
          <x14:cfRule type="expression" priority="70" id="{34B850E8-5D74-421A-B536-40F5A7BF007D}">
            <xm:f>$J$33='Grise - regneark'!$C$28</xm:f>
            <x14:dxf>
              <font>
                <color theme="9" tint="0.59996337778862885"/>
              </font>
              <fill>
                <patternFill>
                  <bgColor theme="9" tint="0.59996337778862885"/>
                </patternFill>
              </fill>
              <border>
                <left/>
                <right/>
                <top/>
                <bottom/>
                <vertical/>
                <horizontal/>
              </border>
            </x14:dxf>
          </x14:cfRule>
          <xm:sqref>C37:J37 C39:J39 C38 E38 I38:J38</xm:sqref>
        </x14:conditionalFormatting>
        <x14:conditionalFormatting xmlns:xm="http://schemas.microsoft.com/office/excel/2006/main">
          <x14:cfRule type="expression" priority="69" id="{E18BD396-BFE7-4A11-AF83-63F7B14F0615}">
            <xm:f>$J$33='Grise - regneark'!$D$28</xm:f>
            <x14:dxf>
              <font>
                <color theme="9" tint="0.59996337778862885"/>
              </font>
              <fill>
                <patternFill>
                  <bgColor theme="9" tint="0.59996337778862885"/>
                </patternFill>
              </fill>
              <border>
                <left/>
                <right/>
                <top/>
                <bottom/>
                <vertical/>
                <horizontal/>
              </border>
            </x14:dxf>
          </x14:cfRule>
          <xm:sqref>C37:J37 C39:J39 C38 E38 I38:J38</xm:sqref>
        </x14:conditionalFormatting>
        <x14:conditionalFormatting xmlns:xm="http://schemas.microsoft.com/office/excel/2006/main">
          <x14:cfRule type="expression" priority="61" id="{4C17DFDD-168E-411E-84C4-A41844DE3913}">
            <xm:f>$J$33='Grise - regneark'!$C$28</xm:f>
            <x14:dxf>
              <font>
                <color theme="9" tint="0.59996337778862885"/>
              </font>
              <fill>
                <patternFill>
                  <bgColor theme="9" tint="0.59996337778862885"/>
                </patternFill>
              </fill>
              <border>
                <left/>
                <right/>
                <top/>
                <bottom/>
                <vertical/>
                <horizontal/>
              </border>
            </x14:dxf>
          </x14:cfRule>
          <x14:cfRule type="expression" priority="62" id="{080FE8E4-0977-495B-BF86-AB73FF0359BB}">
            <xm:f>$J$33='Grise - regneark'!$B$28</xm:f>
            <x14:dxf>
              <font>
                <color theme="9" tint="0.59996337778862885"/>
              </font>
              <fill>
                <patternFill>
                  <bgColor theme="9" tint="0.59996337778862885"/>
                </patternFill>
              </fill>
              <border>
                <left/>
                <right/>
                <top/>
                <bottom/>
                <vertical/>
                <horizontal/>
              </border>
            </x14:dxf>
          </x14:cfRule>
          <xm:sqref>I35</xm:sqref>
        </x14:conditionalFormatting>
        <x14:conditionalFormatting xmlns:xm="http://schemas.microsoft.com/office/excel/2006/main">
          <x14:cfRule type="iconSet" priority="375" id="{F6DA98F0-E483-4FE6-9C68-8DB47EE19E54}">
            <x14:iconSet iconSet="3Symbols2" custom="1">
              <x14:cfvo type="percent">
                <xm:f>0</xm:f>
              </x14:cfvo>
              <x14:cfvo type="num">
                <xm:f>-0.5</xm:f>
              </x14:cfvo>
              <x14:cfvo type="num">
                <xm:f>0.5</xm:f>
              </x14:cfvo>
              <x14:cfIcon iconSet="3Symbols2" iconId="0"/>
              <x14:cfIcon iconSet="3Symbols2" iconId="1"/>
              <x14:cfIcon iconSet="3Symbols2" iconId="2"/>
            </x14:iconSet>
          </x14:cfRule>
          <xm:sqref>K12:L12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'Grise - regneark'!$B$28:$D$28</xm:f>
          </x14:formula1>
          <xm:sqref>J33</xm:sqref>
        </x14:dataValidation>
        <x14:dataValidation type="list" allowBlank="1" showInputMessage="1" showErrorMessage="1">
          <x14:formula1>
            <xm:f>'Grise-Virkningsgrad regneark'!$M$4:$M$10</xm:f>
          </x14:formula1>
          <xm:sqref>J25</xm:sqref>
        </x14:dataValidation>
        <x14:dataValidation type="list" allowBlank="1" showErrorMessage="1" error="Der kan indtastes værdier mellem 0 og 24">
          <x14:formula1>
            <xm:f>'Kyllinge - regneark'!$B$13:$C$13</xm:f>
          </x14:formula1>
          <xm:sqref>J15</xm:sqref>
        </x14:dataValidation>
        <x14:dataValidation type="list" allowBlank="1" showInputMessage="1" showErrorMessage="1">
          <x14:formula1>
            <xm:f>'Grise - regneark'!$B$10:$C$10</xm:f>
          </x14:formula1>
          <xm:sqref>Q8:Q9</xm:sqref>
        </x14:dataValidation>
        <x14:dataValidation type="list" allowBlank="1" showInputMessage="1" showErrorMessage="1">
          <x14:formula1>
            <xm:f>'Kyllinge - regneark'!$B$10:$C$10</xm:f>
          </x14:formula1>
          <xm:sqref>G19:G21</xm:sqref>
        </x14:dataValidation>
        <x14:dataValidation type="list" allowBlank="1" showInputMessage="1" showErrorMessage="1">
          <x14:formula1>
            <xm:f>'Kyllinge - regneark'!$B$16:$B$16</xm:f>
          </x14:formula1>
          <xm:sqref>C19:D21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topLeftCell="B16" workbookViewId="0">
      <selection activeCell="R30" sqref="R30"/>
    </sheetView>
  </sheetViews>
  <sheetFormatPr defaultRowHeight="15" x14ac:dyDescent="0.25"/>
  <cols>
    <col min="1" max="1" width="29.5703125" customWidth="1"/>
    <col min="2" max="3" width="13.85546875" customWidth="1"/>
    <col min="4" max="4" width="11.140625" customWidth="1"/>
    <col min="5" max="5" width="12.140625" customWidth="1"/>
    <col min="6" max="6" width="10.140625" customWidth="1"/>
    <col min="7" max="7" width="14.85546875" customWidth="1"/>
    <col min="8" max="8" width="13.85546875" customWidth="1"/>
  </cols>
  <sheetData>
    <row r="1" spans="1:13" ht="18.75" x14ac:dyDescent="0.3">
      <c r="A1" s="295" t="s">
        <v>6</v>
      </c>
      <c r="B1" s="295"/>
      <c r="C1" s="295"/>
    </row>
    <row r="3" spans="1:13" ht="15.75" x14ac:dyDescent="0.25">
      <c r="A3" s="110" t="s">
        <v>41</v>
      </c>
    </row>
    <row r="4" spans="1:13" x14ac:dyDescent="0.25">
      <c r="A4" s="106" t="s">
        <v>42</v>
      </c>
      <c r="K4" s="88"/>
      <c r="M4" s="88"/>
    </row>
    <row r="5" spans="1:13" x14ac:dyDescent="0.25">
      <c r="A5" s="107" t="s">
        <v>43</v>
      </c>
    </row>
    <row r="6" spans="1:13" x14ac:dyDescent="0.25">
      <c r="A6" s="108" t="s">
        <v>44</v>
      </c>
    </row>
    <row r="8" spans="1:13" x14ac:dyDescent="0.25">
      <c r="H8" s="109" t="s">
        <v>51</v>
      </c>
    </row>
    <row r="9" spans="1:13" x14ac:dyDescent="0.25">
      <c r="A9" s="109" t="s">
        <v>45</v>
      </c>
      <c r="B9" s="294" t="s">
        <v>21</v>
      </c>
      <c r="C9" s="294"/>
      <c r="D9" s="113"/>
    </row>
    <row r="10" spans="1:13" ht="18" customHeight="1" x14ac:dyDescent="0.25">
      <c r="A10" t="s">
        <v>46</v>
      </c>
      <c r="B10" s="115" t="s">
        <v>22</v>
      </c>
      <c r="C10" s="115" t="s">
        <v>9</v>
      </c>
      <c r="H10" s="120" t="s">
        <v>30</v>
      </c>
    </row>
    <row r="11" spans="1:13" ht="24.75" customHeight="1" x14ac:dyDescent="0.25">
      <c r="B11" s="115"/>
      <c r="C11" s="115"/>
      <c r="H11" s="117" t="str">
        <f>B19</f>
        <v>Ja</v>
      </c>
      <c r="I11">
        <v>8.6999999999999993</v>
      </c>
      <c r="L11">
        <v>8.6999999999999993</v>
      </c>
      <c r="M11" t="s">
        <v>135</v>
      </c>
    </row>
    <row r="12" spans="1:13" x14ac:dyDescent="0.25">
      <c r="A12" s="109" t="s">
        <v>47</v>
      </c>
      <c r="B12" s="294" t="s">
        <v>21</v>
      </c>
      <c r="C12" s="294"/>
      <c r="H12" s="117" t="str">
        <f>C19</f>
        <v>Nej</v>
      </c>
      <c r="I12">
        <v>5.2</v>
      </c>
      <c r="J12">
        <v>3.7</v>
      </c>
      <c r="L12">
        <v>5.2</v>
      </c>
      <c r="M12" t="s">
        <v>136</v>
      </c>
    </row>
    <row r="13" spans="1:13" ht="30" x14ac:dyDescent="0.25">
      <c r="A13" s="112" t="s">
        <v>48</v>
      </c>
      <c r="B13" s="115" t="s">
        <v>23</v>
      </c>
      <c r="C13" s="115" t="s">
        <v>24</v>
      </c>
      <c r="H13" s="117">
        <f>D19</f>
        <v>0</v>
      </c>
      <c r="I13" s="108">
        <v>2</v>
      </c>
      <c r="J13">
        <v>5.9</v>
      </c>
    </row>
    <row r="14" spans="1:13" x14ac:dyDescent="0.25">
      <c r="B14" s="114"/>
      <c r="C14" s="114"/>
    </row>
    <row r="15" spans="1:13" ht="45" x14ac:dyDescent="0.25">
      <c r="A15" s="195" t="s">
        <v>116</v>
      </c>
      <c r="B15" s="294" t="s">
        <v>21</v>
      </c>
      <c r="C15" s="294"/>
    </row>
    <row r="16" spans="1:13" x14ac:dyDescent="0.25">
      <c r="B16" s="111" t="s">
        <v>117</v>
      </c>
      <c r="C16" s="111" t="s">
        <v>118</v>
      </c>
      <c r="D16" s="111" t="s">
        <v>119</v>
      </c>
    </row>
    <row r="17" spans="1:20" x14ac:dyDescent="0.25">
      <c r="B17" s="115"/>
      <c r="C17" s="115"/>
      <c r="D17" s="111"/>
      <c r="L17" s="91"/>
    </row>
    <row r="18" spans="1:20" ht="30" x14ac:dyDescent="0.25">
      <c r="A18" s="195" t="s">
        <v>120</v>
      </c>
      <c r="B18" s="294" t="s">
        <v>21</v>
      </c>
      <c r="C18" s="294"/>
      <c r="D18" s="111"/>
    </row>
    <row r="19" spans="1:20" ht="15.75" thickBot="1" x14ac:dyDescent="0.3">
      <c r="B19" s="117" t="s">
        <v>22</v>
      </c>
      <c r="C19" s="115" t="s">
        <v>9</v>
      </c>
      <c r="D19" s="117"/>
      <c r="L19" s="189" t="s">
        <v>31</v>
      </c>
      <c r="M19" s="88"/>
      <c r="N19" s="294" t="s">
        <v>32</v>
      </c>
      <c r="O19" s="294"/>
      <c r="P19" s="294"/>
      <c r="Q19" s="294"/>
      <c r="S19" s="91" t="s">
        <v>138</v>
      </c>
    </row>
    <row r="20" spans="1:20" x14ac:dyDescent="0.25">
      <c r="B20" s="114"/>
      <c r="C20" s="114"/>
      <c r="L20" s="93"/>
      <c r="M20" s="94"/>
      <c r="N20" s="288" t="str">
        <f>B16</f>
        <v>Konventionel</v>
      </c>
      <c r="O20" s="288"/>
      <c r="P20" s="288" t="str">
        <f>B19</f>
        <v>Ja</v>
      </c>
      <c r="Q20" s="289"/>
      <c r="S20" s="99" t="str">
        <f>B16</f>
        <v>Konventionel</v>
      </c>
      <c r="T20" s="103">
        <v>1.54</v>
      </c>
    </row>
    <row r="21" spans="1:20" x14ac:dyDescent="0.25">
      <c r="B21" s="294" t="s">
        <v>21</v>
      </c>
      <c r="C21" s="294"/>
      <c r="L21" s="95" t="s">
        <v>33</v>
      </c>
      <c r="M21" s="96"/>
      <c r="N21" s="292">
        <v>2</v>
      </c>
      <c r="O21" s="292"/>
      <c r="P21" s="292"/>
      <c r="Q21" s="293"/>
      <c r="S21" s="95" t="s">
        <v>132</v>
      </c>
      <c r="T21" s="104">
        <v>0.45</v>
      </c>
    </row>
    <row r="22" spans="1:20" ht="30" x14ac:dyDescent="0.25">
      <c r="A22" s="112" t="s">
        <v>124</v>
      </c>
      <c r="B22" s="112" t="s">
        <v>123</v>
      </c>
      <c r="C22" s="196" t="s">
        <v>128</v>
      </c>
      <c r="D22" s="112" t="s">
        <v>121</v>
      </c>
      <c r="E22" s="112" t="s">
        <v>122</v>
      </c>
      <c r="F22" s="112" t="s">
        <v>130</v>
      </c>
      <c r="L22" s="95" t="s">
        <v>34</v>
      </c>
      <c r="M22" s="96"/>
      <c r="N22" s="292">
        <v>105</v>
      </c>
      <c r="O22" s="292"/>
      <c r="P22" s="292"/>
      <c r="Q22" s="293"/>
      <c r="S22" s="95" t="str">
        <f>C16</f>
        <v>Økologisk</v>
      </c>
      <c r="T22" s="104">
        <v>1.54</v>
      </c>
    </row>
    <row r="23" spans="1:20" ht="15.75" thickBot="1" x14ac:dyDescent="0.3">
      <c r="B23" s="114"/>
      <c r="C23" s="114"/>
      <c r="L23" s="97" t="s">
        <v>35</v>
      </c>
      <c r="M23" s="98"/>
      <c r="N23" s="290">
        <v>101</v>
      </c>
      <c r="O23" s="290"/>
      <c r="P23" s="290"/>
      <c r="Q23" s="291"/>
      <c r="S23" s="95" t="s">
        <v>132</v>
      </c>
      <c r="T23" s="104">
        <v>0.45</v>
      </c>
    </row>
    <row r="24" spans="1:20" x14ac:dyDescent="0.25">
      <c r="A24" s="118"/>
      <c r="B24" s="294" t="s">
        <v>21</v>
      </c>
      <c r="C24" s="294"/>
      <c r="L24" s="99"/>
      <c r="M24" s="100"/>
      <c r="N24" s="288" t="str">
        <f>C16</f>
        <v>Økologisk</v>
      </c>
      <c r="O24" s="288"/>
      <c r="P24" s="288" t="str">
        <f>C19</f>
        <v>Nej</v>
      </c>
      <c r="Q24" s="289"/>
      <c r="S24" s="95"/>
      <c r="T24" s="104"/>
    </row>
    <row r="25" spans="1:20" ht="34.5" thickBot="1" x14ac:dyDescent="0.3">
      <c r="A25" s="154" t="s">
        <v>125</v>
      </c>
      <c r="B25" s="115" t="s">
        <v>22</v>
      </c>
      <c r="C25" s="115" t="s">
        <v>9</v>
      </c>
      <c r="L25" s="95" t="s">
        <v>38</v>
      </c>
      <c r="M25" s="101"/>
      <c r="N25" s="292">
        <v>0.1</v>
      </c>
      <c r="O25" s="292"/>
      <c r="P25" s="292"/>
      <c r="Q25" s="293"/>
      <c r="S25" s="97"/>
      <c r="T25" s="105"/>
    </row>
    <row r="26" spans="1:20" ht="15.75" thickBot="1" x14ac:dyDescent="0.3">
      <c r="A26" s="118"/>
      <c r="B26" s="119"/>
      <c r="C26" s="119"/>
      <c r="L26" s="97" t="s">
        <v>39</v>
      </c>
      <c r="M26" s="102"/>
      <c r="N26" s="290">
        <v>0.32</v>
      </c>
      <c r="O26" s="290"/>
      <c r="P26" s="290"/>
      <c r="Q26" s="291"/>
    </row>
    <row r="27" spans="1:20" x14ac:dyDescent="0.25">
      <c r="B27" s="294" t="s">
        <v>21</v>
      </c>
      <c r="C27" s="294"/>
      <c r="L27" s="99"/>
      <c r="M27" s="94"/>
      <c r="N27" s="288" t="str">
        <f>D16</f>
        <v>Frilands</v>
      </c>
      <c r="O27" s="288"/>
      <c r="P27" s="288"/>
      <c r="Q27" s="289"/>
    </row>
    <row r="28" spans="1:20" ht="45" x14ac:dyDescent="0.25">
      <c r="A28" s="155" t="s">
        <v>126</v>
      </c>
      <c r="B28" s="117" t="s">
        <v>22</v>
      </c>
      <c r="C28" s="117" t="s">
        <v>127</v>
      </c>
      <c r="D28" s="156"/>
      <c r="L28" s="95" t="s">
        <v>36</v>
      </c>
      <c r="M28" s="101"/>
      <c r="N28" s="292">
        <v>11</v>
      </c>
      <c r="O28" s="292"/>
      <c r="P28" s="292"/>
      <c r="Q28" s="293"/>
    </row>
    <row r="29" spans="1:20" ht="15.75" thickBot="1" x14ac:dyDescent="0.3">
      <c r="L29" s="97" t="s">
        <v>37</v>
      </c>
      <c r="M29" s="102"/>
      <c r="N29" s="290">
        <v>2.2999999999999998</v>
      </c>
      <c r="O29" s="290"/>
      <c r="P29" s="290"/>
      <c r="Q29" s="291"/>
    </row>
    <row r="31" spans="1:20" ht="15.75" thickBot="1" x14ac:dyDescent="0.3">
      <c r="L31" s="189" t="s">
        <v>31</v>
      </c>
      <c r="M31" s="88"/>
      <c r="N31" s="294" t="s">
        <v>55</v>
      </c>
      <c r="O31" s="294"/>
      <c r="P31" s="294"/>
      <c r="Q31" s="294"/>
      <c r="S31" s="91" t="s">
        <v>40</v>
      </c>
    </row>
    <row r="32" spans="1:20" x14ac:dyDescent="0.25">
      <c r="L32" s="93"/>
      <c r="M32" s="94"/>
      <c r="N32" s="288" t="str">
        <f>B16</f>
        <v>Konventionel</v>
      </c>
      <c r="O32" s="288"/>
      <c r="P32" s="288" t="str">
        <f>B19</f>
        <v>Ja</v>
      </c>
      <c r="Q32" s="289"/>
      <c r="S32" s="99" t="str">
        <f>B16</f>
        <v>Konventionel</v>
      </c>
      <c r="T32" s="103">
        <f>N34</f>
        <v>44</v>
      </c>
    </row>
    <row r="33" spans="12:20" x14ac:dyDescent="0.25">
      <c r="L33" s="95" t="s">
        <v>33</v>
      </c>
      <c r="M33" s="96"/>
      <c r="N33" s="292">
        <v>0</v>
      </c>
      <c r="O33" s="292"/>
      <c r="P33" s="292"/>
      <c r="Q33" s="293"/>
      <c r="S33" s="95" t="str">
        <f>B19</f>
        <v>Ja</v>
      </c>
      <c r="T33" s="104">
        <f>N34</f>
        <v>44</v>
      </c>
    </row>
    <row r="34" spans="12:20" ht="15.75" thickBot="1" x14ac:dyDescent="0.3">
      <c r="L34" s="95" t="s">
        <v>34</v>
      </c>
      <c r="M34" s="96"/>
      <c r="N34" s="292">
        <v>44</v>
      </c>
      <c r="O34" s="292"/>
      <c r="P34" s="292"/>
      <c r="Q34" s="293"/>
      <c r="S34" s="95" t="str">
        <f>C16</f>
        <v>Økologisk</v>
      </c>
      <c r="T34" s="104">
        <f>N36</f>
        <v>2.2000000000000002</v>
      </c>
    </row>
    <row r="35" spans="12:20" x14ac:dyDescent="0.25">
      <c r="L35" s="99"/>
      <c r="M35" s="100"/>
      <c r="N35" s="288" t="str">
        <f>C16</f>
        <v>Økologisk</v>
      </c>
      <c r="O35" s="288"/>
      <c r="P35" s="288" t="str">
        <f>C19</f>
        <v>Nej</v>
      </c>
      <c r="Q35" s="289"/>
      <c r="S35" s="95" t="str">
        <f>C19</f>
        <v>Nej</v>
      </c>
      <c r="T35" s="104">
        <f>N36</f>
        <v>2.2000000000000002</v>
      </c>
    </row>
    <row r="36" spans="12:20" ht="15.75" thickBot="1" x14ac:dyDescent="0.3">
      <c r="L36" s="95" t="s">
        <v>38</v>
      </c>
      <c r="M36" s="101"/>
      <c r="N36" s="292">
        <v>2.2000000000000002</v>
      </c>
      <c r="O36" s="292"/>
      <c r="P36" s="292"/>
      <c r="Q36" s="293"/>
      <c r="S36" s="95" t="str">
        <f>D16</f>
        <v>Frilands</v>
      </c>
      <c r="T36" s="104">
        <f>N38</f>
        <v>1</v>
      </c>
    </row>
    <row r="37" spans="12:20" ht="15.75" thickBot="1" x14ac:dyDescent="0.3">
      <c r="L37" s="99"/>
      <c r="M37" s="94"/>
      <c r="N37" s="288" t="str">
        <f>D16</f>
        <v>Frilands</v>
      </c>
      <c r="O37" s="288"/>
      <c r="P37" s="288"/>
      <c r="Q37" s="289"/>
      <c r="S37" s="97">
        <f>D19</f>
        <v>0</v>
      </c>
      <c r="T37" s="105">
        <f>N38</f>
        <v>1</v>
      </c>
    </row>
    <row r="38" spans="12:20" ht="15.75" thickBot="1" x14ac:dyDescent="0.3">
      <c r="L38" s="97" t="s">
        <v>36</v>
      </c>
      <c r="M38" s="102"/>
      <c r="N38" s="290">
        <v>1</v>
      </c>
      <c r="O38" s="290"/>
      <c r="P38" s="290"/>
      <c r="Q38" s="291"/>
    </row>
  </sheetData>
  <mergeCells count="31">
    <mergeCell ref="N38:Q38"/>
    <mergeCell ref="N28:Q28"/>
    <mergeCell ref="N29:Q29"/>
    <mergeCell ref="N31:Q31"/>
    <mergeCell ref="N32:O32"/>
    <mergeCell ref="P32:Q32"/>
    <mergeCell ref="N33:Q33"/>
    <mergeCell ref="N34:Q34"/>
    <mergeCell ref="N35:O35"/>
    <mergeCell ref="P35:Q35"/>
    <mergeCell ref="N36:Q36"/>
    <mergeCell ref="N37:Q37"/>
    <mergeCell ref="B27:C27"/>
    <mergeCell ref="N27:Q27"/>
    <mergeCell ref="N20:O20"/>
    <mergeCell ref="P20:Q20"/>
    <mergeCell ref="B21:C21"/>
    <mergeCell ref="N21:Q21"/>
    <mergeCell ref="N22:Q22"/>
    <mergeCell ref="N23:Q23"/>
    <mergeCell ref="B24:C24"/>
    <mergeCell ref="N24:O24"/>
    <mergeCell ref="P24:Q24"/>
    <mergeCell ref="N25:Q25"/>
    <mergeCell ref="N26:Q26"/>
    <mergeCell ref="N19:Q19"/>
    <mergeCell ref="A1:C1"/>
    <mergeCell ref="B9:C9"/>
    <mergeCell ref="B12:C12"/>
    <mergeCell ref="B15:C15"/>
    <mergeCell ref="B18:C1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H20"/>
  <sheetViews>
    <sheetView topLeftCell="A6" zoomScaleNormal="100" workbookViewId="0">
      <selection activeCell="K13" sqref="K13"/>
    </sheetView>
  </sheetViews>
  <sheetFormatPr defaultColWidth="9.140625" defaultRowHeight="15" x14ac:dyDescent="0.25"/>
  <cols>
    <col min="1" max="1" width="57.85546875" style="128" bestFit="1" customWidth="1"/>
    <col min="2" max="2" width="28.42578125" style="128" customWidth="1"/>
    <col min="3" max="5" width="9.140625" style="128"/>
    <col min="6" max="6" width="11.42578125" style="128" customWidth="1"/>
    <col min="7" max="16384" width="9.140625" style="128"/>
  </cols>
  <sheetData>
    <row r="3" spans="1:8" ht="15.75" x14ac:dyDescent="0.25">
      <c r="A3" s="127" t="s">
        <v>56</v>
      </c>
    </row>
    <row r="7" spans="1:8" x14ac:dyDescent="0.25">
      <c r="A7" s="128" t="s">
        <v>57</v>
      </c>
    </row>
    <row r="8" spans="1:8" x14ac:dyDescent="0.25">
      <c r="A8" s="129" t="s">
        <v>58</v>
      </c>
      <c r="B8" s="130"/>
    </row>
    <row r="9" spans="1:8" x14ac:dyDescent="0.25">
      <c r="A9" s="131" t="s">
        <v>59</v>
      </c>
      <c r="B9" s="132">
        <f>'Kyllinge - Varmeforbrug '!C30</f>
        <v>0</v>
      </c>
      <c r="C9" s="296" t="s">
        <v>60</v>
      </c>
      <c r="D9" s="296"/>
      <c r="E9" s="296"/>
      <c r="F9" s="296"/>
    </row>
    <row r="10" spans="1:8" x14ac:dyDescent="0.25">
      <c r="A10" s="131" t="s">
        <v>61</v>
      </c>
      <c r="B10" s="132">
        <f>'Kyllinge - Varmeforbrug '!J25</f>
        <v>0</v>
      </c>
      <c r="C10" s="301" t="s">
        <v>62</v>
      </c>
      <c r="D10" s="302"/>
      <c r="E10" s="302"/>
      <c r="F10" s="303"/>
    </row>
    <row r="11" spans="1:8" ht="24" customHeight="1" x14ac:dyDescent="0.25">
      <c r="A11" s="131" t="s">
        <v>63</v>
      </c>
      <c r="B11" s="133">
        <f>'Kyllinge - Varmeforbrug '!E30</f>
        <v>0</v>
      </c>
      <c r="C11" s="297" t="s">
        <v>64</v>
      </c>
      <c r="D11" s="297"/>
      <c r="E11" s="297"/>
      <c r="F11" s="297"/>
    </row>
    <row r="12" spans="1:8" ht="46.35" customHeight="1" x14ac:dyDescent="0.25">
      <c r="A12" s="131" t="s">
        <v>65</v>
      </c>
      <c r="B12" s="134">
        <f>'Kyllinge - Varmeforbrug '!H30</f>
        <v>0</v>
      </c>
      <c r="C12" s="297" t="s">
        <v>66</v>
      </c>
      <c r="D12" s="297"/>
      <c r="E12" s="297"/>
      <c r="F12" s="297"/>
      <c r="H12" s="130"/>
    </row>
    <row r="13" spans="1:8" x14ac:dyDescent="0.25">
      <c r="A13" s="131" t="s">
        <v>67</v>
      </c>
      <c r="B13" s="135" t="e">
        <f>IF(B12&lt;&gt;"",'Kyllinge-Virkningsgrad regneark'!C13/100,"")</f>
        <v>#NUM!</v>
      </c>
      <c r="C13" s="298" t="s">
        <v>68</v>
      </c>
      <c r="D13" s="298"/>
      <c r="E13" s="298"/>
      <c r="F13" s="298"/>
    </row>
    <row r="14" spans="1:8" ht="56.25" customHeight="1" x14ac:dyDescent="0.25">
      <c r="A14" s="131" t="s">
        <v>69</v>
      </c>
      <c r="B14" s="135" t="e">
        <f>IF(B12&lt;&gt;"",'Kyllinge-Virkningsgrad regneark'!C14/100,"")</f>
        <v>#N/A</v>
      </c>
      <c r="C14" s="297" t="s">
        <v>70</v>
      </c>
      <c r="D14" s="297"/>
      <c r="E14" s="297"/>
      <c r="F14" s="297"/>
    </row>
    <row r="15" spans="1:8" x14ac:dyDescent="0.25">
      <c r="A15" s="136"/>
      <c r="B15"/>
    </row>
    <row r="17" spans="1:6" x14ac:dyDescent="0.25">
      <c r="A17" s="129" t="s">
        <v>71</v>
      </c>
      <c r="B17" s="130"/>
    </row>
    <row r="18" spans="1:6" x14ac:dyDescent="0.25">
      <c r="A18" s="131" t="s">
        <v>59</v>
      </c>
      <c r="B18" s="132">
        <f>'Kyllinge - Varmeforbrug '!C38</f>
        <v>0</v>
      </c>
      <c r="C18" s="299" t="s">
        <v>60</v>
      </c>
      <c r="D18" s="299"/>
      <c r="E18" s="299"/>
      <c r="F18" s="299"/>
    </row>
    <row r="19" spans="1:6" ht="36" customHeight="1" x14ac:dyDescent="0.25">
      <c r="A19" s="131" t="s">
        <v>65</v>
      </c>
      <c r="B19" s="134">
        <f>'Kyllinge - Varmeforbrug '!E38</f>
        <v>0</v>
      </c>
      <c r="C19" s="300" t="s">
        <v>72</v>
      </c>
      <c r="D19" s="300"/>
      <c r="E19" s="300"/>
      <c r="F19" s="300"/>
    </row>
    <row r="20" spans="1:6" ht="38.450000000000003" customHeight="1" x14ac:dyDescent="0.25">
      <c r="A20" s="131" t="s">
        <v>67</v>
      </c>
      <c r="B20" s="135" t="e">
        <f>IF(B19="","",B19*(0.0043*LN(B18)+0.93))</f>
        <v>#NUM!</v>
      </c>
      <c r="C20" s="297" t="s">
        <v>73</v>
      </c>
      <c r="D20" s="297"/>
      <c r="E20" s="297"/>
      <c r="F20" s="297"/>
    </row>
  </sheetData>
  <sheetProtection selectLockedCells="1"/>
  <mergeCells count="9">
    <mergeCell ref="C9:F9"/>
    <mergeCell ref="C20:F20"/>
    <mergeCell ref="C14:F14"/>
    <mergeCell ref="C13:F13"/>
    <mergeCell ref="C12:F12"/>
    <mergeCell ref="C18:F18"/>
    <mergeCell ref="C19:F19"/>
    <mergeCell ref="C11:F11"/>
    <mergeCell ref="C10:F10"/>
  </mergeCells>
  <dataValidations count="4">
    <dataValidation type="decimal" allowBlank="1" showInputMessage="1" showErrorMessage="1" error="Standardløsningen kan kun bruges for kedler med en maksimal varmeydelse på 1.000 kW." sqref="B18 B9">
      <formula1>0</formula1>
      <formula2>1000</formula2>
    </dataValidation>
    <dataValidation type="custom" allowBlank="1" showInputMessage="1" errorTitle="For lav virkningsgrad" error="Kedlens årsvirkningsgrad ved udskiftningstidspunktet kan ikke være mindre end 50 %" promptTitle="Bemærk" prompt="Kedlens årsvirkningsgrad ved udskiftningstidspunktet må ikke være mindre en 50%." sqref="B14">
      <formula1>B14&gt;0.5</formula1>
    </dataValidation>
    <dataValidation type="decimal" allowBlank="1" showInputMessage="1" showErrorMessage="1" errorTitle="Fejl i indtastning" error="Normvirkningsgraden kan maksmimalt være 120 %." sqref="B19">
      <formula1>0</formula1>
      <formula2>1.2</formula2>
    </dataValidation>
    <dataValidation type="decimal" allowBlank="1" showInputMessage="1" showErrorMessage="1" errorTitle="Fejl i indtastning" error="Normvirkningsgraden kan maksmimalt være 103 %." sqref="B12">
      <formula1>0</formula1>
      <formula2>1.03</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'Kyllinge-Virkningsgrad regneark'!$M$4:$M$10</xm:f>
          </x14:formula1>
          <xm:sqref>B10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10</vt:i4>
      </vt:variant>
    </vt:vector>
  </HeadingPairs>
  <TitlesOfParts>
    <vt:vector size="10" baseType="lpstr">
      <vt:lpstr>Forside</vt:lpstr>
      <vt:lpstr>Beskrivelse</vt:lpstr>
      <vt:lpstr>Grise - Varmeforbrug</vt:lpstr>
      <vt:lpstr>Grise - regneark</vt:lpstr>
      <vt:lpstr>Grise - Virkningsgrader</vt:lpstr>
      <vt:lpstr>Grise-Virkningsgrad regneark</vt:lpstr>
      <vt:lpstr>Kyllinge - Varmeforbrug </vt:lpstr>
      <vt:lpstr>Kyllinge - regneark</vt:lpstr>
      <vt:lpstr>Kyllinge - virkningsgrad</vt:lpstr>
      <vt:lpstr>Kyllinge-Virkningsgrad regneark</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Diydem Günal</dc:creator>
  <cp:lastModifiedBy>Albert Bruun-Guassora</cp:lastModifiedBy>
  <dcterms:created xsi:type="dcterms:W3CDTF">2022-01-04T08:17:22Z</dcterms:created>
  <dcterms:modified xsi:type="dcterms:W3CDTF">2022-08-12T09:19:01Z</dcterms:modified>
</cp:coreProperties>
</file>